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peloza\Downloads\"/>
    </mc:Choice>
  </mc:AlternateContent>
  <bookViews>
    <workbookView xWindow="0" yWindow="0" windowWidth="23040" windowHeight="9192"/>
  </bookViews>
  <sheets>
    <sheet name="Inputs" sheetId="1" r:id="rId1"/>
    <sheet name="Summary" sheetId="2" r:id="rId2"/>
    <sheet name="Mortgage Calculations" sheetId="5" state="hidden" r:id="rId3"/>
    <sheet name="Land Transfer Tax" sheetId="3" state="hidden" r:id="rId4"/>
    <sheet name="Minimum Downpayment" sheetId="9" state="hidden" r:id="rId5"/>
  </sheets>
  <definedNames>
    <definedName name="_xlnm.Print_Area" localSheetId="0">Inputs!$A$3:$C$86</definedName>
    <definedName name="_xlnm.Print_Area" localSheetId="1">Summary!$B$2:$H$37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1" i="1" l="1"/>
  <c r="B1" i="9"/>
  <c r="B3" i="9" s="1"/>
  <c r="B4" i="9" s="1"/>
  <c r="H29" i="2" l="1"/>
  <c r="C30" i="2" l="1"/>
  <c r="C29" i="2"/>
  <c r="H12" i="2"/>
  <c r="D12" i="2"/>
  <c r="K23" i="2" l="1"/>
  <c r="L23" i="2" s="1"/>
  <c r="M23" i="2" s="1"/>
  <c r="N23" i="2" s="1"/>
  <c r="K20" i="2"/>
  <c r="L20" i="2" s="1"/>
  <c r="M20" i="2" s="1"/>
  <c r="N20" i="2" s="1"/>
  <c r="K19" i="2"/>
  <c r="L19" i="2" s="1"/>
  <c r="M19" i="2" s="1"/>
  <c r="N19" i="2" s="1"/>
  <c r="K18" i="2"/>
  <c r="L18" i="2" s="1"/>
  <c r="M18" i="2" s="1"/>
  <c r="N18" i="2" s="1"/>
  <c r="C51" i="1"/>
  <c r="C18" i="5"/>
  <c r="C15" i="5"/>
  <c r="H20" i="2"/>
  <c r="P20" i="2" s="1"/>
  <c r="Q20" i="2" s="1"/>
  <c r="R20" i="2" s="1"/>
  <c r="S20" i="2" s="1"/>
  <c r="H19" i="2"/>
  <c r="P19" i="2" s="1"/>
  <c r="H18" i="2"/>
  <c r="P18" i="2" s="1"/>
  <c r="Q18" i="2" s="1"/>
  <c r="R18" i="2" s="1"/>
  <c r="S18" i="2" s="1"/>
  <c r="H16" i="2"/>
  <c r="P16" i="2" s="1"/>
  <c r="Q16" i="2" s="1"/>
  <c r="R16" i="2" s="1"/>
  <c r="S16" i="2" s="1"/>
  <c r="D16" i="2"/>
  <c r="K16" i="2" s="1"/>
  <c r="L16" i="2" s="1"/>
  <c r="M16" i="2" s="1"/>
  <c r="N16" i="2" s="1"/>
  <c r="B35" i="1"/>
  <c r="C35" i="1"/>
  <c r="H17" i="2"/>
  <c r="P17" i="2" s="1"/>
  <c r="Q17" i="2" s="1"/>
  <c r="R17" i="2" s="1"/>
  <c r="S17" i="2" s="1"/>
  <c r="D17" i="2"/>
  <c r="K17" i="2" s="1"/>
  <c r="L17" i="2" s="1"/>
  <c r="M17" i="2" s="1"/>
  <c r="N17" i="2" s="1"/>
  <c r="D15" i="2"/>
  <c r="B18" i="5"/>
  <c r="B15" i="5"/>
  <c r="K15" i="2" l="1"/>
  <c r="L15" i="2" s="1"/>
  <c r="M15" i="2" s="1"/>
  <c r="N15" i="2" s="1"/>
  <c r="D14" i="2"/>
  <c r="Q19" i="2"/>
  <c r="R19" i="2" s="1"/>
  <c r="S19" i="2" s="1"/>
  <c r="B69" i="1"/>
  <c r="C69" i="1"/>
  <c r="B5" i="5"/>
  <c r="B4" i="5"/>
  <c r="B6" i="5" l="1"/>
  <c r="B14" i="5" l="1"/>
  <c r="J15" i="5" s="1"/>
  <c r="H16" i="5" s="1"/>
  <c r="B7" i="5"/>
  <c r="B6" i="9"/>
  <c r="B48" i="1" s="1"/>
  <c r="B12" i="9" s="1"/>
  <c r="G8" i="1"/>
  <c r="G5" i="1"/>
  <c r="B9" i="5" l="1"/>
  <c r="B11" i="5" s="1"/>
  <c r="C14" i="5" s="1"/>
  <c r="B19" i="5"/>
  <c r="G16" i="5" s="1"/>
  <c r="D13" i="1"/>
  <c r="C31" i="1"/>
  <c r="B18" i="1"/>
  <c r="C18" i="1"/>
  <c r="D16" i="1"/>
  <c r="D15" i="1"/>
  <c r="D14" i="1"/>
  <c r="C7" i="1"/>
  <c r="D8" i="2" l="1"/>
  <c r="H8" i="2" s="1"/>
  <c r="I16" i="5"/>
  <c r="J16" i="5" s="1"/>
  <c r="Q15" i="5"/>
  <c r="C19" i="5"/>
  <c r="B57" i="1"/>
  <c r="G24" i="5"/>
  <c r="G32" i="5"/>
  <c r="G40" i="5"/>
  <c r="G48" i="5"/>
  <c r="G56" i="5"/>
  <c r="G64" i="5"/>
  <c r="G72" i="5"/>
  <c r="G52" i="5"/>
  <c r="G68" i="5"/>
  <c r="G46" i="5"/>
  <c r="G62" i="5"/>
  <c r="G31" i="5"/>
  <c r="G47" i="5"/>
  <c r="G71" i="5"/>
  <c r="G17" i="5"/>
  <c r="G25" i="5"/>
  <c r="G33" i="5"/>
  <c r="G41" i="5"/>
  <c r="G49" i="5"/>
  <c r="G57" i="5"/>
  <c r="G65" i="5"/>
  <c r="G73" i="5"/>
  <c r="G44" i="5"/>
  <c r="G54" i="5"/>
  <c r="G23" i="5"/>
  <c r="G55" i="5"/>
  <c r="G18" i="5"/>
  <c r="G26" i="5"/>
  <c r="G34" i="5"/>
  <c r="G42" i="5"/>
  <c r="G50" i="5"/>
  <c r="G58" i="5"/>
  <c r="G66" i="5"/>
  <c r="G74" i="5"/>
  <c r="G36" i="5"/>
  <c r="G30" i="5"/>
  <c r="G19" i="5"/>
  <c r="G27" i="5"/>
  <c r="G35" i="5"/>
  <c r="G43" i="5"/>
  <c r="G51" i="5"/>
  <c r="G59" i="5"/>
  <c r="G67" i="5"/>
  <c r="G75" i="5"/>
  <c r="G28" i="5"/>
  <c r="G60" i="5"/>
  <c r="G38" i="5"/>
  <c r="G20" i="5"/>
  <c r="G21" i="5"/>
  <c r="G29" i="5"/>
  <c r="G37" i="5"/>
  <c r="G45" i="5"/>
  <c r="G53" i="5"/>
  <c r="G61" i="5"/>
  <c r="G69" i="5"/>
  <c r="G22" i="5"/>
  <c r="G70" i="5"/>
  <c r="G39" i="5"/>
  <c r="G63" i="5"/>
  <c r="D18" i="1"/>
  <c r="B12" i="1" s="1"/>
  <c r="F1" i="3"/>
  <c r="F4" i="3" s="1"/>
  <c r="H10" i="1" s="1"/>
  <c r="C1" i="3"/>
  <c r="C2" i="3"/>
  <c r="C3" i="3"/>
  <c r="C4" i="3"/>
  <c r="D9" i="2" l="1"/>
  <c r="D33" i="2" s="1"/>
  <c r="O16" i="5"/>
  <c r="B22" i="5"/>
  <c r="N75" i="5"/>
  <c r="N67" i="5"/>
  <c r="N59" i="5"/>
  <c r="N51" i="5"/>
  <c r="N43" i="5"/>
  <c r="N35" i="5"/>
  <c r="N27" i="5"/>
  <c r="N19" i="5"/>
  <c r="N65" i="5"/>
  <c r="N57" i="5"/>
  <c r="N41" i="5"/>
  <c r="N25" i="5"/>
  <c r="N61" i="5"/>
  <c r="N29" i="5"/>
  <c r="N60" i="5"/>
  <c r="N44" i="5"/>
  <c r="N74" i="5"/>
  <c r="N66" i="5"/>
  <c r="N58" i="5"/>
  <c r="N50" i="5"/>
  <c r="N42" i="5"/>
  <c r="N34" i="5"/>
  <c r="N26" i="5"/>
  <c r="N18" i="5"/>
  <c r="N73" i="5"/>
  <c r="N49" i="5"/>
  <c r="N33" i="5"/>
  <c r="N17" i="5"/>
  <c r="N72" i="5"/>
  <c r="N64" i="5"/>
  <c r="N56" i="5"/>
  <c r="N48" i="5"/>
  <c r="N40" i="5"/>
  <c r="N32" i="5"/>
  <c r="N24" i="5"/>
  <c r="N16" i="5"/>
  <c r="N70" i="5"/>
  <c r="N54" i="5"/>
  <c r="N46" i="5"/>
  <c r="N30" i="5"/>
  <c r="N69" i="5"/>
  <c r="N53" i="5"/>
  <c r="N45" i="5"/>
  <c r="N21" i="5"/>
  <c r="N68" i="5"/>
  <c r="N52" i="5"/>
  <c r="N36" i="5"/>
  <c r="N28" i="5"/>
  <c r="N71" i="5"/>
  <c r="N63" i="5"/>
  <c r="N55" i="5"/>
  <c r="N47" i="5"/>
  <c r="N39" i="5"/>
  <c r="N31" i="5"/>
  <c r="N23" i="5"/>
  <c r="N62" i="5"/>
  <c r="N38" i="5"/>
  <c r="N22" i="5"/>
  <c r="N37" i="5"/>
  <c r="N20" i="5"/>
  <c r="H17" i="5"/>
  <c r="H15" i="2" l="1"/>
  <c r="H14" i="2" s="1"/>
  <c r="P16" i="5"/>
  <c r="C22" i="5"/>
  <c r="I17" i="5"/>
  <c r="J17" i="5" s="1"/>
  <c r="H18" i="5" s="1"/>
  <c r="I18" i="5" s="1"/>
  <c r="J18" i="5" s="1"/>
  <c r="H19" i="5" s="1"/>
  <c r="I19" i="5" s="1"/>
  <c r="J19" i="5" s="1"/>
  <c r="H20" i="5" s="1"/>
  <c r="I20" i="5" s="1"/>
  <c r="J20" i="5" s="1"/>
  <c r="H21" i="5" s="1"/>
  <c r="I21" i="5" s="1"/>
  <c r="J21" i="5" s="1"/>
  <c r="I4" i="3"/>
  <c r="K10" i="1" s="1"/>
  <c r="G4" i="3"/>
  <c r="I10" i="1" s="1"/>
  <c r="H5" i="1" s="1"/>
  <c r="F5" i="3"/>
  <c r="I5" i="3" s="1"/>
  <c r="K11" i="1" s="1"/>
  <c r="Q16" i="5" l="1"/>
  <c r="O17" i="5" s="1"/>
  <c r="P17" i="5" s="1"/>
  <c r="D24" i="2"/>
  <c r="J25" i="2" s="1"/>
  <c r="H24" i="2"/>
  <c r="P15" i="2"/>
  <c r="K24" i="2" s="1"/>
  <c r="K25" i="2" s="1"/>
  <c r="D22" i="5"/>
  <c r="H22" i="5"/>
  <c r="I22" i="5" s="1"/>
  <c r="J22" i="5" s="1"/>
  <c r="H23" i="5" s="1"/>
  <c r="I23" i="5" s="1"/>
  <c r="J23" i="5" s="1"/>
  <c r="H24" i="5" s="1"/>
  <c r="I24" i="5" s="1"/>
  <c r="J24" i="5" s="1"/>
  <c r="H25" i="5" s="1"/>
  <c r="I25" i="5" s="1"/>
  <c r="J25" i="5" s="1"/>
  <c r="H4" i="3"/>
  <c r="J10" i="1" s="1"/>
  <c r="G5" i="3"/>
  <c r="H5" i="3" s="1"/>
  <c r="J11" i="1" s="1"/>
  <c r="H11" i="1"/>
  <c r="I5" i="1" s="1"/>
  <c r="B45" i="1" s="1"/>
  <c r="P24" i="2" l="1"/>
  <c r="P25" i="2" s="1"/>
  <c r="O25" i="2"/>
  <c r="Q15" i="2"/>
  <c r="Q24" i="2" s="1"/>
  <c r="Q25" i="2" s="1"/>
  <c r="Q17" i="5"/>
  <c r="O18" i="5" s="1"/>
  <c r="P18" i="5" s="1"/>
  <c r="Q18" i="5" s="1"/>
  <c r="O19" i="5" s="1"/>
  <c r="P19" i="5" s="1"/>
  <c r="Q19" i="5" s="1"/>
  <c r="O20" i="5" s="1"/>
  <c r="P20" i="5" s="1"/>
  <c r="Q20" i="5" s="1"/>
  <c r="H26" i="5"/>
  <c r="J5" i="1"/>
  <c r="I11" i="1"/>
  <c r="B47" i="1" l="1"/>
  <c r="B50" i="1" s="1"/>
  <c r="D50" i="1" s="1"/>
  <c r="H9" i="2"/>
  <c r="H33" i="2" s="1"/>
  <c r="R15" i="2"/>
  <c r="R24" i="2" s="1"/>
  <c r="R25" i="2" s="1"/>
  <c r="L24" i="2"/>
  <c r="L25" i="2" s="1"/>
  <c r="I26" i="5"/>
  <c r="J26" i="5" s="1"/>
  <c r="H27" i="5" s="1"/>
  <c r="I27" i="5" s="1"/>
  <c r="J27" i="5" s="1"/>
  <c r="O21" i="5"/>
  <c r="B21" i="9" l="1"/>
  <c r="C12" i="9" s="1"/>
  <c r="S15" i="2"/>
  <c r="M24" i="2"/>
  <c r="M25" i="2" s="1"/>
  <c r="P21" i="5"/>
  <c r="H28" i="5"/>
  <c r="I28" i="5" s="1"/>
  <c r="J28" i="5" s="1"/>
  <c r="C21" i="9" l="1"/>
  <c r="I12" i="9"/>
  <c r="I13" i="9" s="1"/>
  <c r="B13" i="9" s="1"/>
  <c r="B14" i="9" s="1"/>
  <c r="B15" i="9" s="1"/>
  <c r="B16" i="9" s="1"/>
  <c r="B17" i="9" s="1"/>
  <c r="B18" i="9" s="1"/>
  <c r="B19" i="9" s="1"/>
  <c r="B20" i="9" s="1"/>
  <c r="C20" i="9" s="1"/>
  <c r="N24" i="2"/>
  <c r="N25" i="2" s="1"/>
  <c r="D32" i="2" s="1"/>
  <c r="S24" i="2"/>
  <c r="S25" i="2" s="1"/>
  <c r="H32" i="2" s="1"/>
  <c r="Q21" i="5"/>
  <c r="O22" i="5" s="1"/>
  <c r="P22" i="5" s="1"/>
  <c r="Q22" i="5" s="1"/>
  <c r="O23" i="5" s="1"/>
  <c r="P23" i="5" s="1"/>
  <c r="H29" i="5"/>
  <c r="I29" i="5" s="1"/>
  <c r="J29" i="5" s="1"/>
  <c r="C13" i="9" l="1"/>
  <c r="D34" i="2"/>
  <c r="C17" i="9"/>
  <c r="C14" i="9"/>
  <c r="C16" i="9"/>
  <c r="C19" i="9"/>
  <c r="C18" i="9"/>
  <c r="C15" i="9"/>
  <c r="Q23" i="5"/>
  <c r="O24" i="5" s="1"/>
  <c r="P24" i="5" s="1"/>
  <c r="Q24" i="5" s="1"/>
  <c r="H30" i="5"/>
  <c r="I30" i="5" s="1"/>
  <c r="J30" i="5" s="1"/>
  <c r="O25" i="5" l="1"/>
  <c r="P25" i="5" s="1"/>
  <c r="Q25" i="5" s="1"/>
  <c r="H31" i="5"/>
  <c r="I31" i="5" s="1"/>
  <c r="J31" i="5" s="1"/>
  <c r="O26" i="5" l="1"/>
  <c r="P26" i="5" s="1"/>
  <c r="Q26" i="5" s="1"/>
  <c r="H32" i="5"/>
  <c r="I32" i="5" s="1"/>
  <c r="J32" i="5" s="1"/>
  <c r="O27" i="5" l="1"/>
  <c r="P27" i="5" s="1"/>
  <c r="H23" i="2" s="1"/>
  <c r="H25" i="2" s="1"/>
  <c r="H33" i="5"/>
  <c r="I33" i="5" s="1"/>
  <c r="J33" i="5" s="1"/>
  <c r="Q27" i="5" l="1"/>
  <c r="O28" i="5" s="1"/>
  <c r="P28" i="5" s="1"/>
  <c r="D25" i="2"/>
  <c r="H34" i="5"/>
  <c r="I34" i="5" s="1"/>
  <c r="J34" i="5" s="1"/>
  <c r="Q28" i="5" l="1"/>
  <c r="O29" i="5" s="1"/>
  <c r="P29" i="5" s="1"/>
  <c r="Q29" i="5" s="1"/>
  <c r="H35" i="5"/>
  <c r="I35" i="5" s="1"/>
  <c r="J35" i="5" s="1"/>
  <c r="O30" i="5" l="1"/>
  <c r="P30" i="5" s="1"/>
  <c r="H36" i="5"/>
  <c r="I36" i="5" s="1"/>
  <c r="J36" i="5" s="1"/>
  <c r="Q30" i="5" l="1"/>
  <c r="O31" i="5" s="1"/>
  <c r="P31" i="5" s="1"/>
  <c r="Q31" i="5" s="1"/>
  <c r="H37" i="5"/>
  <c r="I37" i="5" s="1"/>
  <c r="J37" i="5" s="1"/>
  <c r="O32" i="5" l="1"/>
  <c r="P32" i="5" s="1"/>
  <c r="H38" i="5"/>
  <c r="I38" i="5" s="1"/>
  <c r="J38" i="5" s="1"/>
  <c r="Q32" i="5" l="1"/>
  <c r="O33" i="5" s="1"/>
  <c r="P33" i="5" s="1"/>
  <c r="H39" i="5"/>
  <c r="I39" i="5" s="1"/>
  <c r="J39" i="5" s="1"/>
  <c r="Q33" i="5" l="1"/>
  <c r="O34" i="5" s="1"/>
  <c r="P34" i="5" s="1"/>
  <c r="Q34" i="5" s="1"/>
  <c r="H40" i="5"/>
  <c r="I40" i="5" s="1"/>
  <c r="J40" i="5" s="1"/>
  <c r="O35" i="5" l="1"/>
  <c r="P35" i="5" s="1"/>
  <c r="H41" i="5"/>
  <c r="I41" i="5" s="1"/>
  <c r="J41" i="5" s="1"/>
  <c r="Q35" i="5" l="1"/>
  <c r="O36" i="5" s="1"/>
  <c r="P36" i="5" s="1"/>
  <c r="Q36" i="5" s="1"/>
  <c r="H42" i="5"/>
  <c r="I42" i="5" s="1"/>
  <c r="J42" i="5" s="1"/>
  <c r="O37" i="5" l="1"/>
  <c r="P37" i="5" s="1"/>
  <c r="Q37" i="5" s="1"/>
  <c r="H43" i="5"/>
  <c r="I43" i="5" s="1"/>
  <c r="J43" i="5" s="1"/>
  <c r="O38" i="5" l="1"/>
  <c r="P38" i="5" s="1"/>
  <c r="Q38" i="5" s="1"/>
  <c r="H44" i="5"/>
  <c r="I44" i="5" s="1"/>
  <c r="J44" i="5" s="1"/>
  <c r="O39" i="5" l="1"/>
  <c r="P39" i="5" s="1"/>
  <c r="Q39" i="5" s="1"/>
  <c r="H45" i="5"/>
  <c r="I45" i="5" s="1"/>
  <c r="J45" i="5" s="1"/>
  <c r="O40" i="5" l="1"/>
  <c r="P40" i="5" s="1"/>
  <c r="H46" i="5"/>
  <c r="I46" i="5" s="1"/>
  <c r="J46" i="5" s="1"/>
  <c r="Q40" i="5" l="1"/>
  <c r="O41" i="5" s="1"/>
  <c r="P41" i="5" s="1"/>
  <c r="H47" i="5"/>
  <c r="I47" i="5" s="1"/>
  <c r="J47" i="5" s="1"/>
  <c r="Q41" i="5" l="1"/>
  <c r="O42" i="5" s="1"/>
  <c r="P42" i="5" s="1"/>
  <c r="H48" i="5"/>
  <c r="I48" i="5" s="1"/>
  <c r="J48" i="5" s="1"/>
  <c r="Q42" i="5" l="1"/>
  <c r="O43" i="5" s="1"/>
  <c r="P43" i="5" s="1"/>
  <c r="H49" i="5"/>
  <c r="I49" i="5" s="1"/>
  <c r="J49" i="5" s="1"/>
  <c r="Q43" i="5" l="1"/>
  <c r="O44" i="5" s="1"/>
  <c r="P44" i="5" s="1"/>
  <c r="Q44" i="5" s="1"/>
  <c r="H50" i="5"/>
  <c r="I50" i="5" s="1"/>
  <c r="J50" i="5" s="1"/>
  <c r="O45" i="5" l="1"/>
  <c r="P45" i="5" s="1"/>
  <c r="H51" i="5"/>
  <c r="I51" i="5" s="1"/>
  <c r="J51" i="5" s="1"/>
  <c r="Q45" i="5" l="1"/>
  <c r="O46" i="5" s="1"/>
  <c r="P46" i="5" s="1"/>
  <c r="Q46" i="5" s="1"/>
  <c r="H52" i="5"/>
  <c r="I52" i="5" s="1"/>
  <c r="J52" i="5" s="1"/>
  <c r="O47" i="5" l="1"/>
  <c r="P47" i="5" s="1"/>
  <c r="Q47" i="5" s="1"/>
  <c r="H53" i="5"/>
  <c r="I53" i="5" s="1"/>
  <c r="J53" i="5" s="1"/>
  <c r="O48" i="5" l="1"/>
  <c r="P48" i="5" s="1"/>
  <c r="Q48" i="5" s="1"/>
  <c r="H54" i="5"/>
  <c r="I54" i="5" s="1"/>
  <c r="J54" i="5" s="1"/>
  <c r="O49" i="5" l="1"/>
  <c r="P49" i="5" s="1"/>
  <c r="Q49" i="5" s="1"/>
  <c r="H55" i="5"/>
  <c r="I55" i="5" s="1"/>
  <c r="J55" i="5" s="1"/>
  <c r="O50" i="5" l="1"/>
  <c r="P50" i="5" s="1"/>
  <c r="Q50" i="5" s="1"/>
  <c r="H56" i="5"/>
  <c r="I56" i="5" s="1"/>
  <c r="J56" i="5" s="1"/>
  <c r="O51" i="5" l="1"/>
  <c r="P51" i="5" s="1"/>
  <c r="Q51" i="5" s="1"/>
  <c r="H57" i="5"/>
  <c r="I57" i="5" s="1"/>
  <c r="J57" i="5" s="1"/>
  <c r="O52" i="5" l="1"/>
  <c r="P52" i="5" s="1"/>
  <c r="H58" i="5"/>
  <c r="I58" i="5" s="1"/>
  <c r="J58" i="5" s="1"/>
  <c r="Q52" i="5" l="1"/>
  <c r="O53" i="5" s="1"/>
  <c r="P53" i="5" s="1"/>
  <c r="Q53" i="5" s="1"/>
  <c r="H59" i="5"/>
  <c r="I59" i="5" s="1"/>
  <c r="J59" i="5" s="1"/>
  <c r="O54" i="5" l="1"/>
  <c r="P54" i="5" s="1"/>
  <c r="H60" i="5"/>
  <c r="I60" i="5" s="1"/>
  <c r="J60" i="5" s="1"/>
  <c r="Q54" i="5" l="1"/>
  <c r="O55" i="5" s="1"/>
  <c r="P55" i="5" s="1"/>
  <c r="Q55" i="5" s="1"/>
  <c r="H61" i="5"/>
  <c r="I61" i="5" s="1"/>
  <c r="J61" i="5" s="1"/>
  <c r="O56" i="5" l="1"/>
  <c r="P56" i="5" s="1"/>
  <c r="H62" i="5"/>
  <c r="I62" i="5" s="1"/>
  <c r="J62" i="5" s="1"/>
  <c r="Q56" i="5" l="1"/>
  <c r="O57" i="5" s="1"/>
  <c r="P57" i="5" s="1"/>
  <c r="H63" i="5"/>
  <c r="I63" i="5" s="1"/>
  <c r="J63" i="5" s="1"/>
  <c r="Q57" i="5" l="1"/>
  <c r="O58" i="5" s="1"/>
  <c r="P58" i="5" s="1"/>
  <c r="Q58" i="5" s="1"/>
  <c r="H64" i="5"/>
  <c r="I64" i="5" s="1"/>
  <c r="J64" i="5" s="1"/>
  <c r="O59" i="5" l="1"/>
  <c r="P59" i="5" s="1"/>
  <c r="H65" i="5"/>
  <c r="I65" i="5" s="1"/>
  <c r="J65" i="5" s="1"/>
  <c r="Q59" i="5" l="1"/>
  <c r="O60" i="5" s="1"/>
  <c r="P60" i="5" s="1"/>
  <c r="Q60" i="5" s="1"/>
  <c r="H66" i="5"/>
  <c r="I66" i="5" s="1"/>
  <c r="J66" i="5" s="1"/>
  <c r="O61" i="5" l="1"/>
  <c r="P61" i="5" s="1"/>
  <c r="Q61" i="5" s="1"/>
  <c r="H67" i="5"/>
  <c r="I67" i="5" s="1"/>
  <c r="J67" i="5" s="1"/>
  <c r="O62" i="5" l="1"/>
  <c r="P62" i="5" s="1"/>
  <c r="Q62" i="5" s="1"/>
  <c r="H68" i="5"/>
  <c r="I68" i="5" s="1"/>
  <c r="J68" i="5" s="1"/>
  <c r="O63" i="5" l="1"/>
  <c r="P63" i="5" s="1"/>
  <c r="Q63" i="5" s="1"/>
  <c r="H69" i="5"/>
  <c r="I69" i="5" s="1"/>
  <c r="J69" i="5" s="1"/>
  <c r="O64" i="5" l="1"/>
  <c r="P64" i="5" s="1"/>
  <c r="H70" i="5"/>
  <c r="I70" i="5" s="1"/>
  <c r="J70" i="5" s="1"/>
  <c r="Q64" i="5" l="1"/>
  <c r="O65" i="5" s="1"/>
  <c r="P65" i="5" s="1"/>
  <c r="H71" i="5"/>
  <c r="I71" i="5" s="1"/>
  <c r="J71" i="5" s="1"/>
  <c r="Q65" i="5" l="1"/>
  <c r="O66" i="5" s="1"/>
  <c r="P66" i="5" s="1"/>
  <c r="H72" i="5"/>
  <c r="I72" i="5" s="1"/>
  <c r="J72" i="5" s="1"/>
  <c r="Q66" i="5" l="1"/>
  <c r="O67" i="5" s="1"/>
  <c r="P67" i="5" s="1"/>
  <c r="H73" i="5"/>
  <c r="I73" i="5" s="1"/>
  <c r="J73" i="5" s="1"/>
  <c r="Q67" i="5" l="1"/>
  <c r="O68" i="5" s="1"/>
  <c r="P68" i="5" s="1"/>
  <c r="H74" i="5"/>
  <c r="I74" i="5" s="1"/>
  <c r="J74" i="5" s="1"/>
  <c r="Q68" i="5" l="1"/>
  <c r="O69" i="5" s="1"/>
  <c r="P69" i="5" s="1"/>
  <c r="Q69" i="5" s="1"/>
  <c r="H75" i="5"/>
  <c r="I75" i="5" l="1"/>
  <c r="J75" i="5" s="1"/>
  <c r="B23" i="5"/>
  <c r="B24" i="5" s="1"/>
  <c r="O70" i="5"/>
  <c r="P70" i="5" s="1"/>
  <c r="Q70" i="5" s="1"/>
  <c r="O71" i="5" l="1"/>
  <c r="P71" i="5" s="1"/>
  <c r="Q71" i="5" s="1"/>
  <c r="O72" i="5" l="1"/>
  <c r="P72" i="5" s="1"/>
  <c r="Q72" i="5" s="1"/>
  <c r="O73" i="5" l="1"/>
  <c r="P73" i="5" s="1"/>
  <c r="Q73" i="5" s="1"/>
  <c r="O74" i="5" l="1"/>
  <c r="P74" i="5" s="1"/>
  <c r="Q74" i="5" s="1"/>
  <c r="O75" i="5" l="1"/>
  <c r="P75" i="5" l="1"/>
  <c r="C23" i="5"/>
  <c r="Q75" i="5" l="1"/>
  <c r="P23" i="2"/>
  <c r="Q23" i="2"/>
  <c r="R23" i="2"/>
  <c r="S23" i="2"/>
  <c r="D23" i="5"/>
  <c r="D24" i="5" s="1"/>
  <c r="C24" i="5"/>
  <c r="H30" i="2" l="1"/>
  <c r="H31" i="2" s="1"/>
  <c r="H34" i="2" s="1"/>
  <c r="J35" i="2" s="1"/>
  <c r="H35" i="2" s="1"/>
  <c r="D35" i="2" s="1"/>
  <c r="R75" i="5"/>
</calcChain>
</file>

<file path=xl/sharedStrings.xml><?xml version="1.0" encoding="utf-8"?>
<sst xmlns="http://schemas.openxmlformats.org/spreadsheetml/2006/main" count="253" uniqueCount="156">
  <si>
    <t>PERSONAL INPUTS</t>
  </si>
  <si>
    <t>Yes</t>
  </si>
  <si>
    <t>No</t>
  </si>
  <si>
    <t>Cash in Savings Account</t>
  </si>
  <si>
    <t>Value of Personal Investing Account</t>
  </si>
  <si>
    <t>Value of Tax-Free Savings Account</t>
  </si>
  <si>
    <t>Single</t>
  </si>
  <si>
    <t>Couple</t>
  </si>
  <si>
    <t>You</t>
  </si>
  <si>
    <t>Partner</t>
  </si>
  <si>
    <t>Value of RRSP</t>
  </si>
  <si>
    <t>RENTAL INPUTS</t>
  </si>
  <si>
    <t>RRSP Available for First-Time Buyer</t>
  </si>
  <si>
    <t>Estimate of Average Monthly Utilities</t>
  </si>
  <si>
    <t>Condo or Freehold?</t>
  </si>
  <si>
    <t>Condo</t>
  </si>
  <si>
    <t>Freehold</t>
  </si>
  <si>
    <t>Estimated Sale Price</t>
  </si>
  <si>
    <t>Estimate of Monthly Base Rent</t>
  </si>
  <si>
    <t>Available for Downpayment and Closing Costs</t>
  </si>
  <si>
    <t>Remainder Available for Downpayment</t>
  </si>
  <si>
    <t>Are you a First-Time Buyer?</t>
  </si>
  <si>
    <t>Are you Considering Buying in Toronto?</t>
  </si>
  <si>
    <t>Land Transfer Tax after Available Rebates</t>
  </si>
  <si>
    <t>Estimate of Legal Costs</t>
  </si>
  <si>
    <t>Mortgage Default Insurance Premium, if Applicable</t>
  </si>
  <si>
    <t>Annual Growth Rate of Rent:</t>
  </si>
  <si>
    <t>Annual Growth Rate of Your Savings:</t>
  </si>
  <si>
    <t>Annual Growth Rate of Your Home Value:</t>
  </si>
  <si>
    <t>Low-End</t>
  </si>
  <si>
    <t>High-End</t>
  </si>
  <si>
    <t>Address You May Rent (Optional)</t>
  </si>
  <si>
    <t>MLS Number, if Available (Optional)</t>
  </si>
  <si>
    <t>Address You May Buy (Optional)</t>
  </si>
  <si>
    <t>Estimate of Annual Property Taxes</t>
  </si>
  <si>
    <t>Monthly Condo Fees, if Applicable</t>
  </si>
  <si>
    <t>Estimate of Annual Tenant's Insurance</t>
  </si>
  <si>
    <t>https://www.fin.gov.on.ca/en/bulletins/ltt/2_2005.html</t>
  </si>
  <si>
    <t>Above</t>
  </si>
  <si>
    <t>Toronto</t>
  </si>
  <si>
    <t>LTT</t>
  </si>
  <si>
    <t>Purchase Price</t>
  </si>
  <si>
    <t>Rest of Ontario</t>
  </si>
  <si>
    <t>Both first-time buyer</t>
  </si>
  <si>
    <t>Not first-time Buyer</t>
  </si>
  <si>
    <t>Spouse</t>
  </si>
  <si>
    <t>Are you Single or Buying with a Partner / Spouse?</t>
  </si>
  <si>
    <t>First-time buyers can take advantage of the Ontario Land Transfer Tax rebate, up to $4,000 for homes outside the municipality of Toronto and up to $8,475 within the Toronto municipality. If you or your partner have already purchased a home, the refund amount is reduced.</t>
  </si>
  <si>
    <t>Land transfer tax in the municipality of Toronto is double the standard amount for other properties in Ontario. Land transfer tax is calculated as a percentage of the home price.</t>
  </si>
  <si>
    <t>First-time buyers can withdraw up to $35,000 each from their RRSPs, subject to certain conditions (locked-in or group RRSPs do not allow you to withdraw funds). You must re-contribute the RRSP deduction within the next 15 years in order to avoid any fees.</t>
  </si>
  <si>
    <t>Tenant's insurance is generally cheaper for condo buildings and freehold properties built within the last 30 years.</t>
  </si>
  <si>
    <t>Estimate of Monthly Home Insurance Premium</t>
  </si>
  <si>
    <t>Minimum Downpayment Required</t>
  </si>
  <si>
    <t>https://www.canada.ca/en/financial-consumer-agency/services/mortgages/down-payment.html</t>
  </si>
  <si>
    <t>First 500K</t>
  </si>
  <si>
    <t>Remainder</t>
  </si>
  <si>
    <t>MIN DOWNPMT</t>
  </si>
  <si>
    <t>MAX DOWNPMT</t>
  </si>
  <si>
    <t>Diff</t>
  </si>
  <si>
    <t>Intervals</t>
  </si>
  <si>
    <t>The minimum amount you need for your down payment depends on the purchase price of the home. For homes priced above 1 million in Ontario, 20% is the minimum.</t>
  </si>
  <si>
    <t>Toronto Municipality</t>
  </si>
  <si>
    <t>Mortgage Default Insurance</t>
  </si>
  <si>
    <t>Estimated Purchase Price</t>
  </si>
  <si>
    <t>Downpayment</t>
  </si>
  <si>
    <t>Remaining Mortgage</t>
  </si>
  <si>
    <t>LOAN-TO-VALUE</t>
  </si>
  <si>
    <t>80% - 85%</t>
  </si>
  <si>
    <t>Mortgage Default Insurance Premium</t>
  </si>
  <si>
    <t>85% - 90%</t>
  </si>
  <si>
    <t>90% - 95%</t>
  </si>
  <si>
    <t>Under 80%</t>
  </si>
  <si>
    <t>Loan-to-Value</t>
  </si>
  <si>
    <t>Mortgage default insurance is typically wrapped into mortgage payments but can alternatively be paid upfront. Regardless, by not putting 20% down on a home, you will have to incur this additional expense, plus additional interest if wrapped into your mortgage.</t>
  </si>
  <si>
    <t>Mortgage plus Default Insurance</t>
  </si>
  <si>
    <t>Do you Have Enough for Minimum Downpayment?</t>
  </si>
  <si>
    <t>Estimate of Annual Repairs and Maintenance</t>
  </si>
  <si>
    <t>Repairs and maintenance expenses are generally cheaper for condo buildings. For freehold properties, a rule of thumb for annual maintenance expenses is 1% of the house price.</t>
  </si>
  <si>
    <t>BUYING INPUTS</t>
  </si>
  <si>
    <t>RENT</t>
  </si>
  <si>
    <t>OWN</t>
  </si>
  <si>
    <t>Not first-time buyer</t>
  </si>
  <si>
    <t>Insurance</t>
  </si>
  <si>
    <t>Equity Gained</t>
  </si>
  <si>
    <t>versus</t>
  </si>
  <si>
    <t>Loan Amount $</t>
  </si>
  <si>
    <t>Annual Interest Rate</t>
  </si>
  <si>
    <t>Life Loan (in years)</t>
  </si>
  <si>
    <t>Number of Payments per Year</t>
  </si>
  <si>
    <t>Total Number of Payments</t>
  </si>
  <si>
    <t>Payment per Period</t>
  </si>
  <si>
    <t>No.</t>
  </si>
  <si>
    <t>Pmt Amount</t>
  </si>
  <si>
    <t>How Much Do You Want to Put Down?</t>
  </si>
  <si>
    <t>Fixed Monthly</t>
  </si>
  <si>
    <t>Interest Amt</t>
  </si>
  <si>
    <t>Loan</t>
  </si>
  <si>
    <t>Property Taxes</t>
  </si>
  <si>
    <t>Utilities</t>
  </si>
  <si>
    <t>Repairs &amp; Maintenance</t>
  </si>
  <si>
    <t>Rent / Mortgage</t>
  </si>
  <si>
    <t>Condo Fees</t>
  </si>
  <si>
    <t>Without Mortgage Default Insurance</t>
  </si>
  <si>
    <t>With Mortgage Default Insurance</t>
  </si>
  <si>
    <t>With MDI</t>
  </si>
  <si>
    <t>Without MDI</t>
  </si>
  <si>
    <t>Interest Paid</t>
  </si>
  <si>
    <t>Delta</t>
  </si>
  <si>
    <t>Year 5 Totals</t>
  </si>
  <si>
    <t>Mortgage Payments</t>
  </si>
  <si>
    <t>Savings after Home Purchase</t>
  </si>
  <si>
    <t>Initial Savings</t>
  </si>
  <si>
    <t>Rental</t>
  </si>
  <si>
    <t>Yr 2</t>
  </si>
  <si>
    <t>Yr 3</t>
  </si>
  <si>
    <t>Yr 4</t>
  </si>
  <si>
    <t>Yr 5</t>
  </si>
  <si>
    <t>Own</t>
  </si>
  <si>
    <t>TOTAL EQUITY, END OF YEAR 5</t>
  </si>
  <si>
    <t>Home Equity</t>
  </si>
  <si>
    <t>Earned through cheaper rent or cheaper ownership costs</t>
  </si>
  <si>
    <t>Principal Mortgage Payments</t>
  </si>
  <si>
    <t>The portion of the mortgage payment that is not interest</t>
  </si>
  <si>
    <t>NOTES</t>
  </si>
  <si>
    <t>Cost of Living Savings</t>
  </si>
  <si>
    <t>LINE ITEM</t>
  </si>
  <si>
    <t>COST OF LIVING - YEAR 1</t>
  </si>
  <si>
    <t>NET BENEFIT - FIRST YEAR</t>
  </si>
  <si>
    <t>plus: Cost of Living Savings</t>
  </si>
  <si>
    <t>plus: Accumulated Savings</t>
  </si>
  <si>
    <t>less: Remainder of Mortgage Loan</t>
  </si>
  <si>
    <t>END OF YEAR 5</t>
  </si>
  <si>
    <t>END OF YEAR 1</t>
  </si>
  <si>
    <t>Compounded value of savings by the end of year 5</t>
  </si>
  <si>
    <t>ADDITIONAL WEALTH - END OF YEAR 5</t>
  </si>
  <si>
    <t>Address (Optional Input)</t>
  </si>
  <si>
    <t>Based on your Inputs</t>
  </si>
  <si>
    <t>Based on your amount of downpayment and closing costs, if applicable</t>
  </si>
  <si>
    <t>5-Year Fixed Rate Mortgage, Monthly Payments, 25-Year Term</t>
  </si>
  <si>
    <t>Utilities are generally cheaper for condo buildings. Use a range or research historical utilities data to improve your estimate.</t>
  </si>
  <si>
    <t>Check the rental price of the listing or use a comparable unit in the same condo that rented within the last 6 months. Various real estate websites can be used to look up current or historical listings.</t>
  </si>
  <si>
    <t>List prices are often not a good indication of sale price, so check to see what comparable properties have sold for within the last 3 months. Various real estate websites can be used to look up current or historical listings.</t>
  </si>
  <si>
    <t>Select a downpayment amount between the minimum required and maximum available based on your savings, estimated purchase price, and associated closing costs (land transfer tax, legal).</t>
  </si>
  <si>
    <t>Your mortgage rate will depend on your savings, downpayment amount, and personal income levels. Speak with your bank or mortgage broker if you are not sure what type of rate you could qualify for.</t>
  </si>
  <si>
    <t>Check the listing if still available or check for historical listing data on a real estate website or through your realtor.</t>
  </si>
  <si>
    <t>Check the listing if still available or look for historical listing data on a real estate website or through your realtor.</t>
  </si>
  <si>
    <t>Home insurance is generally cheaper for condo buildings and newer freehold properties. Expect a minimum of $100/month but speak with an insurance broker if you’d like to refine your estimate.</t>
  </si>
  <si>
    <t>The rent increase guideline for 2023 is 2.5%, although approval from the Landlord and Tenant Board can result in higher rent increases for eligible properties.</t>
  </si>
  <si>
    <t>The growth rate of your savings will depend on where you invest your money. Savings accounts provide risk-free but low growth, while riskier investments like the stock market have historically returned around 10%.</t>
  </si>
  <si>
    <t>Real estate is a real asset (people need shelter), making it less risky than the broader economy or stock market. The growth rate in home prices in Canada has historically grown between 4 and 8 percent per year.</t>
  </si>
  <si>
    <t>Market Value of Home, less Closing Costs</t>
  </si>
  <si>
    <t>ANNUAL GROWTH INPUTS, NEXT 5 YEARS</t>
  </si>
  <si>
    <t>RENT VERSUS OWNING ANALYSIS: 1-YEAR SUMMARY</t>
  </si>
  <si>
    <t>Tenant's insurance for renter's, property insurance for homeowners</t>
  </si>
  <si>
    <t>Some properties may not have condo fees</t>
  </si>
  <si>
    <t>HOW TO USE: UPDATE CELLS HIGHLIGHTED IN YELLOW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</si>
</sst>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8" formatCode="&quot;$&quot;#,##0.00_);[Red]\(&quot;$&quot;#,##0.00\)"/>
    <numFmt numFmtId="164" formatCode="&quot;$&quot;#,##0.00"/>
    <numFmt numFmtId="165" formatCode="&quot;$&quot;#,##0"/>
    <numFmt numFmtId="166" formatCode="0.0%"/>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i/>
      <sz val="9.5"/>
      <color theme="1"/>
      <name val="Calibri"/>
      <family val="2"/>
      <scheme val="minor"/>
    </font>
    <font>
      <u/>
      <sz val="11"/>
      <color theme="10"/>
      <name val="Calibri"/>
      <family val="2"/>
      <scheme val="minor"/>
    </font>
    <font>
      <sz val="10"/>
      <color theme="1"/>
      <name val="Calibri"/>
      <family val="2"/>
      <scheme val="minor"/>
    </font>
    <font>
      <b/>
      <sz val="10"/>
      <color theme="1"/>
      <name val="Calibri"/>
      <family val="2"/>
      <scheme val="minor"/>
    </font>
    <font>
      <b/>
      <i/>
      <sz val="10"/>
      <color theme="1"/>
      <name val="Calibri"/>
      <family val="2"/>
      <scheme val="minor"/>
    </font>
    <font>
      <b/>
      <sz val="10"/>
      <color theme="0"/>
      <name val="Calibri"/>
      <family val="2"/>
      <scheme val="minor"/>
    </font>
    <font>
      <i/>
      <sz val="10"/>
      <color theme="1"/>
      <name val="Calibri"/>
      <family val="2"/>
      <scheme val="minor"/>
    </font>
    <font>
      <i/>
      <sz val="10"/>
      <color theme="0"/>
      <name val="Calibri"/>
      <family val="2"/>
      <scheme val="minor"/>
    </font>
    <font>
      <b/>
      <i/>
      <sz val="10"/>
      <color theme="0"/>
      <name val="Calibri"/>
      <family val="2"/>
      <scheme val="minor"/>
    </font>
    <font>
      <b/>
      <sz val="14"/>
      <color theme="3"/>
      <name val="Calibri"/>
      <family val="2"/>
      <scheme val="minor"/>
    </font>
    <font>
      <i/>
      <sz val="9.5"/>
      <name val="Calibri"/>
      <family val="2"/>
      <scheme val="minor"/>
    </font>
    <font>
      <b/>
      <sz val="11"/>
      <color rgb="FFFF0000"/>
      <name val="Calibri"/>
      <family val="2"/>
      <scheme val="minor"/>
    </font>
  </fonts>
  <fills count="5">
    <fill>
      <patternFill patternType="none"/>
    </fill>
    <fill>
      <patternFill patternType="gray125"/>
    </fill>
    <fill>
      <patternFill patternType="solid">
        <fgColor theme="3"/>
        <bgColor indexed="64"/>
      </patternFill>
    </fill>
    <fill>
      <patternFill patternType="solid">
        <fgColor rgb="FFFFFF00"/>
        <bgColor indexed="64"/>
      </patternFill>
    </fill>
    <fill>
      <patternFill patternType="solid">
        <fgColor theme="2" tint="-9.9978637043366805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129">
    <xf numFmtId="0" fontId="0" fillId="0" borderId="0" xfId="0"/>
    <xf numFmtId="0" fontId="0" fillId="0" borderId="0" xfId="0" applyAlignment="1">
      <alignment horizontal="center"/>
    </xf>
    <xf numFmtId="0" fontId="3" fillId="0" borderId="0" xfId="0" applyFont="1"/>
    <xf numFmtId="0" fontId="0" fillId="0" borderId="0" xfId="0" applyAlignment="1">
      <alignment horizontal="left" indent="1"/>
    </xf>
    <xf numFmtId="0" fontId="4" fillId="0" borderId="0" xfId="0" applyFont="1" applyAlignment="1">
      <alignment horizontal="center"/>
    </xf>
    <xf numFmtId="0" fontId="3" fillId="0" borderId="0" xfId="0" applyFont="1" applyAlignment="1">
      <alignment horizontal="center"/>
    </xf>
    <xf numFmtId="164" fontId="0" fillId="0" borderId="0" xfId="0" applyNumberFormat="1"/>
    <xf numFmtId="165" fontId="0" fillId="0" borderId="0" xfId="0" applyNumberFormat="1"/>
    <xf numFmtId="165" fontId="0" fillId="0" borderId="0" xfId="0" applyNumberFormat="1" applyAlignment="1">
      <alignment horizontal="center"/>
    </xf>
    <xf numFmtId="0" fontId="5" fillId="0" borderId="0" xfId="0" applyFont="1" applyAlignment="1">
      <alignment horizontal="left" vertical="center" wrapText="1"/>
    </xf>
    <xf numFmtId="0" fontId="0" fillId="3" borderId="1" xfId="0" applyFill="1" applyBorder="1" applyAlignment="1">
      <alignment horizontal="center"/>
    </xf>
    <xf numFmtId="165" fontId="0" fillId="3" borderId="1" xfId="0" applyNumberFormat="1" applyFill="1" applyBorder="1" applyAlignment="1">
      <alignment horizontal="center" vertical="center"/>
    </xf>
    <xf numFmtId="165" fontId="4" fillId="0" borderId="0" xfId="0" applyNumberFormat="1" applyFont="1" applyAlignment="1">
      <alignment horizontal="center"/>
    </xf>
    <xf numFmtId="0" fontId="0" fillId="0" borderId="3" xfId="0" applyBorder="1"/>
    <xf numFmtId="0" fontId="6" fillId="0" borderId="0" xfId="2"/>
    <xf numFmtId="10" fontId="0" fillId="0" borderId="0" xfId="0" applyNumberFormat="1" applyAlignment="1">
      <alignment horizontal="center"/>
    </xf>
    <xf numFmtId="0" fontId="0" fillId="0" borderId="0" xfId="0" applyAlignment="1">
      <alignment horizontal="left"/>
    </xf>
    <xf numFmtId="9" fontId="0" fillId="0" borderId="0" xfId="0" applyNumberFormat="1" applyAlignment="1">
      <alignment horizontal="center"/>
    </xf>
    <xf numFmtId="0" fontId="4" fillId="0" borderId="0" xfId="0" applyFont="1" applyAlignment="1">
      <alignment horizontal="right"/>
    </xf>
    <xf numFmtId="0" fontId="4" fillId="0" borderId="0" xfId="0" applyFont="1" applyAlignment="1">
      <alignment horizontal="center" wrapText="1"/>
    </xf>
    <xf numFmtId="9" fontId="0" fillId="0" borderId="0" xfId="0" applyNumberFormat="1"/>
    <xf numFmtId="0" fontId="5" fillId="0" borderId="0" xfId="0" applyFont="1" applyAlignment="1">
      <alignment horizontal="left" vertical="center" wrapText="1"/>
    </xf>
    <xf numFmtId="166" fontId="3" fillId="0" borderId="0" xfId="1" applyNumberFormat="1" applyFont="1" applyAlignment="1">
      <alignment horizontal="center"/>
    </xf>
    <xf numFmtId="165" fontId="3" fillId="0" borderId="0" xfId="0" applyNumberFormat="1" applyFont="1" applyAlignment="1">
      <alignment horizontal="center"/>
    </xf>
    <xf numFmtId="166" fontId="3" fillId="0" borderId="0" xfId="0" applyNumberFormat="1" applyFont="1" applyAlignment="1">
      <alignment horizontal="center"/>
    </xf>
    <xf numFmtId="165" fontId="0" fillId="0" borderId="0" xfId="0" applyNumberFormat="1" applyAlignment="1">
      <alignment horizontal="left"/>
    </xf>
    <xf numFmtId="0" fontId="0" fillId="0" borderId="0" xfId="0" applyAlignment="1">
      <alignment horizontal="center" wrapText="1"/>
    </xf>
    <xf numFmtId="166" fontId="0" fillId="0" borderId="5" xfId="1" applyNumberFormat="1" applyFont="1" applyBorder="1" applyAlignment="1">
      <alignment horizontal="center"/>
    </xf>
    <xf numFmtId="166" fontId="0" fillId="0" borderId="4" xfId="1" applyNumberFormat="1" applyFont="1" applyBorder="1" applyAlignment="1">
      <alignment horizontal="center"/>
    </xf>
    <xf numFmtId="165" fontId="3" fillId="3" borderId="1" xfId="0" applyNumberFormat="1" applyFont="1" applyFill="1" applyBorder="1" applyAlignment="1">
      <alignment horizontal="center"/>
    </xf>
    <xf numFmtId="0" fontId="2" fillId="2" borderId="0" xfId="0" applyFont="1" applyFill="1" applyAlignment="1">
      <alignment horizontal="center"/>
    </xf>
    <xf numFmtId="165" fontId="0" fillId="0" borderId="1" xfId="0" applyNumberFormat="1" applyFill="1" applyBorder="1" applyAlignment="1">
      <alignment horizontal="center" vertical="center"/>
    </xf>
    <xf numFmtId="165" fontId="4" fillId="0" borderId="8" xfId="0" applyNumberFormat="1" applyFont="1" applyBorder="1" applyAlignment="1">
      <alignment horizontal="center"/>
    </xf>
    <xf numFmtId="165" fontId="4" fillId="0" borderId="9" xfId="0" applyNumberFormat="1" applyFont="1" applyBorder="1" applyAlignment="1">
      <alignment horizontal="center"/>
    </xf>
    <xf numFmtId="165" fontId="0" fillId="0" borderId="10" xfId="0" applyNumberFormat="1" applyBorder="1" applyAlignment="1">
      <alignment horizontal="center"/>
    </xf>
    <xf numFmtId="165" fontId="0" fillId="0" borderId="11" xfId="0" applyNumberFormat="1" applyBorder="1" applyAlignment="1">
      <alignment horizontal="center"/>
    </xf>
    <xf numFmtId="0" fontId="3" fillId="0" borderId="12" xfId="0" applyFont="1" applyBorder="1"/>
    <xf numFmtId="0" fontId="5" fillId="0" borderId="8" xfId="0" applyFont="1" applyBorder="1" applyAlignment="1">
      <alignment horizontal="left" vertical="center" wrapText="1"/>
    </xf>
    <xf numFmtId="166" fontId="0" fillId="0" borderId="10" xfId="1" applyNumberFormat="1" applyFont="1" applyBorder="1" applyAlignment="1">
      <alignment horizontal="center"/>
    </xf>
    <xf numFmtId="166" fontId="0" fillId="0" borderId="11" xfId="1" applyNumberFormat="1" applyFont="1" applyBorder="1" applyAlignment="1">
      <alignment horizontal="center"/>
    </xf>
    <xf numFmtId="165" fontId="0" fillId="0" borderId="10" xfId="1" applyNumberFormat="1" applyFont="1" applyBorder="1" applyAlignment="1">
      <alignment horizontal="center"/>
    </xf>
    <xf numFmtId="165" fontId="0" fillId="0" borderId="11" xfId="1" applyNumberFormat="1" applyFont="1" applyBorder="1" applyAlignment="1">
      <alignment horizontal="center"/>
    </xf>
    <xf numFmtId="8" fontId="0" fillId="0" borderId="0" xfId="0" applyNumberFormat="1" applyAlignment="1">
      <alignment horizontal="center"/>
    </xf>
    <xf numFmtId="0" fontId="0" fillId="0" borderId="0" xfId="0" applyFont="1" applyAlignment="1">
      <alignment horizontal="left" indent="1"/>
    </xf>
    <xf numFmtId="10" fontId="0" fillId="0" borderId="10" xfId="1" applyNumberFormat="1" applyFont="1" applyBorder="1" applyAlignment="1">
      <alignment horizontal="center"/>
    </xf>
    <xf numFmtId="10" fontId="0" fillId="0" borderId="11" xfId="1" applyNumberFormat="1" applyFont="1" applyBorder="1" applyAlignment="1">
      <alignment horizontal="center"/>
    </xf>
    <xf numFmtId="6" fontId="0" fillId="0" borderId="0" xfId="0" applyNumberFormat="1" applyAlignment="1">
      <alignment horizontal="center"/>
    </xf>
    <xf numFmtId="0" fontId="4" fillId="0" borderId="0" xfId="0" applyFont="1"/>
    <xf numFmtId="0" fontId="0" fillId="0" borderId="0" xfId="0" applyFont="1"/>
    <xf numFmtId="165" fontId="0" fillId="0" borderId="3" xfId="0" applyNumberFormat="1" applyBorder="1" applyAlignment="1">
      <alignment horizontal="center"/>
    </xf>
    <xf numFmtId="0" fontId="0" fillId="0" borderId="3" xfId="0" applyFont="1" applyBorder="1" applyAlignment="1">
      <alignment horizontal="left" indent="1"/>
    </xf>
    <xf numFmtId="0" fontId="3" fillId="0" borderId="14" xfId="0" applyFont="1" applyBorder="1"/>
    <xf numFmtId="0" fontId="0" fillId="0" borderId="0" xfId="0" applyFont="1" applyBorder="1"/>
    <xf numFmtId="0" fontId="7" fillId="0" borderId="0" xfId="0" applyFont="1" applyAlignment="1">
      <alignment horizontal="center" vertical="center"/>
    </xf>
    <xf numFmtId="0" fontId="8" fillId="0" borderId="0" xfId="0" applyFont="1" applyAlignment="1">
      <alignment horizontal="center" vertical="center"/>
    </xf>
    <xf numFmtId="0" fontId="7" fillId="0" borderId="3" xfId="0" applyFont="1" applyBorder="1" applyAlignment="1">
      <alignment horizontal="center" vertical="center"/>
    </xf>
    <xf numFmtId="0" fontId="8" fillId="0" borderId="14" xfId="0" applyFont="1" applyBorder="1" applyAlignment="1">
      <alignment horizontal="center" vertical="center"/>
    </xf>
    <xf numFmtId="0" fontId="9" fillId="0" borderId="0" xfId="0" applyFont="1" applyAlignment="1">
      <alignment horizontal="center" vertical="center"/>
    </xf>
    <xf numFmtId="0" fontId="3" fillId="0" borderId="2" xfId="0" applyFont="1" applyBorder="1" applyAlignment="1">
      <alignment horizontal="center"/>
    </xf>
    <xf numFmtId="6" fontId="0" fillId="0" borderId="2" xfId="0" applyNumberFormat="1" applyFont="1" applyBorder="1" applyAlignment="1">
      <alignment horizontal="center"/>
    </xf>
    <xf numFmtId="6" fontId="3" fillId="0" borderId="2" xfId="0" applyNumberFormat="1" applyFont="1" applyBorder="1" applyAlignment="1">
      <alignment horizontal="center"/>
    </xf>
    <xf numFmtId="0" fontId="0" fillId="0" borderId="2" xfId="0" applyBorder="1"/>
    <xf numFmtId="6" fontId="0" fillId="0" borderId="2" xfId="0" applyNumberFormat="1" applyBorder="1" applyAlignment="1">
      <alignment horizontal="center"/>
    </xf>
    <xf numFmtId="0" fontId="0" fillId="0" borderId="15" xfId="0" applyBorder="1" applyAlignment="1">
      <alignment horizontal="center"/>
    </xf>
    <xf numFmtId="0" fontId="0" fillId="0" borderId="2" xfId="0" applyBorder="1" applyAlignment="1">
      <alignment horizontal="center"/>
    </xf>
    <xf numFmtId="6" fontId="0" fillId="0" borderId="15" xfId="0" applyNumberFormat="1" applyFont="1" applyBorder="1" applyAlignment="1">
      <alignment horizontal="center"/>
    </xf>
    <xf numFmtId="0" fontId="3" fillId="0" borderId="1" xfId="0" applyFont="1" applyBorder="1" applyAlignment="1">
      <alignment horizontal="center"/>
    </xf>
    <xf numFmtId="0" fontId="0" fillId="0" borderId="15" xfId="0" applyBorder="1"/>
    <xf numFmtId="0" fontId="3" fillId="0" borderId="16" xfId="0" applyFont="1" applyBorder="1"/>
    <xf numFmtId="0" fontId="8" fillId="0" borderId="16" xfId="0" applyFont="1" applyBorder="1" applyAlignment="1">
      <alignment horizontal="center" vertical="center"/>
    </xf>
    <xf numFmtId="6" fontId="3" fillId="0" borderId="17" xfId="0" applyNumberFormat="1" applyFont="1" applyBorder="1" applyAlignment="1">
      <alignment horizontal="center"/>
    </xf>
    <xf numFmtId="0" fontId="3" fillId="4" borderId="0" xfId="0" applyFont="1" applyFill="1" applyAlignment="1">
      <alignment horizontal="center"/>
    </xf>
    <xf numFmtId="0" fontId="3" fillId="4" borderId="14" xfId="0" applyFont="1" applyFill="1" applyBorder="1" applyAlignment="1">
      <alignment horizontal="center"/>
    </xf>
    <xf numFmtId="0" fontId="0" fillId="4" borderId="0" xfId="0" applyFont="1" applyFill="1" applyAlignment="1">
      <alignment horizontal="center"/>
    </xf>
    <xf numFmtId="0" fontId="0" fillId="4" borderId="3" xfId="0" applyFill="1" applyBorder="1"/>
    <xf numFmtId="0" fontId="0" fillId="4" borderId="0" xfId="0" applyFill="1"/>
    <xf numFmtId="0" fontId="0" fillId="4" borderId="0" xfId="0" applyFill="1" applyAlignment="1">
      <alignment horizontal="center"/>
    </xf>
    <xf numFmtId="6" fontId="0" fillId="4" borderId="0" xfId="0" applyNumberFormat="1" applyFill="1" applyAlignment="1">
      <alignment horizontal="center"/>
    </xf>
    <xf numFmtId="0" fontId="0" fillId="4" borderId="3" xfId="0" applyFill="1" applyBorder="1" applyAlignment="1">
      <alignment horizontal="center"/>
    </xf>
    <xf numFmtId="0" fontId="0" fillId="4" borderId="0" xfId="0" applyFont="1" applyFill="1" applyBorder="1" applyAlignment="1">
      <alignment horizontal="center"/>
    </xf>
    <xf numFmtId="0" fontId="3" fillId="4" borderId="16" xfId="0" applyFont="1" applyFill="1" applyBorder="1"/>
    <xf numFmtId="0" fontId="0" fillId="4" borderId="0" xfId="0" applyFont="1" applyFill="1"/>
    <xf numFmtId="0" fontId="3" fillId="4" borderId="0" xfId="0" applyFont="1" applyFill="1"/>
    <xf numFmtId="0" fontId="2" fillId="2" borderId="0" xfId="0" applyFont="1" applyFill="1"/>
    <xf numFmtId="0" fontId="2" fillId="2" borderId="2" xfId="0" applyFont="1" applyFill="1" applyBorder="1" applyAlignment="1">
      <alignment horizontal="center"/>
    </xf>
    <xf numFmtId="0" fontId="2" fillId="2" borderId="14" xfId="0" applyFont="1" applyFill="1" applyBorder="1"/>
    <xf numFmtId="0" fontId="10" fillId="2" borderId="14" xfId="0" applyFont="1" applyFill="1" applyBorder="1" applyAlignment="1">
      <alignment horizontal="center" vertical="center"/>
    </xf>
    <xf numFmtId="6" fontId="2" fillId="2" borderId="1" xfId="0" applyNumberFormat="1" applyFont="1" applyFill="1" applyBorder="1" applyAlignment="1">
      <alignment horizontal="center"/>
    </xf>
    <xf numFmtId="0" fontId="7" fillId="0" borderId="2" xfId="0" applyFont="1" applyBorder="1" applyAlignment="1">
      <alignment horizontal="center"/>
    </xf>
    <xf numFmtId="0" fontId="0" fillId="0" borderId="18" xfId="0" applyBorder="1"/>
    <xf numFmtId="0" fontId="7" fillId="0" borderId="18" xfId="0" applyFont="1" applyBorder="1" applyAlignment="1">
      <alignment horizontal="center" vertical="center"/>
    </xf>
    <xf numFmtId="0" fontId="11" fillId="0" borderId="0" xfId="0" applyFont="1" applyAlignment="1">
      <alignment horizontal="center" vertical="center"/>
    </xf>
    <xf numFmtId="0" fontId="11" fillId="0" borderId="3" xfId="0" applyFont="1" applyBorder="1" applyAlignment="1">
      <alignment horizontal="center" vertical="center"/>
    </xf>
    <xf numFmtId="0" fontId="12" fillId="2" borderId="0" xfId="0" applyFont="1" applyFill="1" applyAlignment="1">
      <alignment horizontal="center" vertical="center"/>
    </xf>
    <xf numFmtId="0" fontId="11" fillId="0" borderId="0" xfId="0" applyFont="1" applyBorder="1" applyAlignment="1">
      <alignment horizontal="center" vertical="center"/>
    </xf>
    <xf numFmtId="0" fontId="9" fillId="0" borderId="16" xfId="0" applyFont="1" applyBorder="1" applyAlignment="1">
      <alignment horizontal="center" vertical="center"/>
    </xf>
    <xf numFmtId="0" fontId="13" fillId="2" borderId="0" xfId="0" applyFont="1" applyFill="1" applyAlignment="1">
      <alignment horizontal="center" vertical="center"/>
    </xf>
    <xf numFmtId="0" fontId="3" fillId="0" borderId="8" xfId="0" applyFont="1" applyBorder="1"/>
    <xf numFmtId="9" fontId="0" fillId="0" borderId="20" xfId="1" applyNumberFormat="1" applyFont="1" applyBorder="1" applyAlignment="1">
      <alignment horizontal="center"/>
    </xf>
    <xf numFmtId="166" fontId="0" fillId="0" borderId="23" xfId="1" applyNumberFormat="1" applyFont="1" applyBorder="1" applyAlignment="1">
      <alignment horizontal="center"/>
    </xf>
    <xf numFmtId="0" fontId="3" fillId="0" borderId="13" xfId="0" applyFont="1" applyBorder="1"/>
    <xf numFmtId="0" fontId="16" fillId="3" borderId="0" xfId="0" applyFont="1" applyFill="1" applyAlignment="1">
      <alignment horizontal="center"/>
    </xf>
    <xf numFmtId="0" fontId="5" fillId="0" borderId="0" xfId="0" applyFont="1" applyAlignment="1">
      <alignment horizontal="left" vertical="center" wrapText="1"/>
    </xf>
    <xf numFmtId="165" fontId="3" fillId="3" borderId="1" xfId="0" applyNumberFormat="1" applyFont="1" applyFill="1" applyBorder="1" applyAlignment="1">
      <alignment horizontal="center"/>
    </xf>
    <xf numFmtId="0" fontId="2" fillId="2" borderId="0" xfId="0" applyFont="1" applyFill="1" applyAlignment="1">
      <alignment horizontal="center"/>
    </xf>
    <xf numFmtId="165" fontId="3" fillId="3" borderId="6" xfId="0" applyNumberFormat="1" applyFont="1" applyFill="1" applyBorder="1" applyAlignment="1">
      <alignment horizontal="center"/>
    </xf>
    <xf numFmtId="165" fontId="3" fillId="3" borderId="7" xfId="0" applyNumberFormat="1" applyFont="1" applyFill="1" applyBorder="1" applyAlignment="1">
      <alignment horizontal="center"/>
    </xf>
    <xf numFmtId="165" fontId="0" fillId="0" borderId="1" xfId="0" applyNumberFormat="1" applyBorder="1" applyAlignment="1">
      <alignment horizontal="center"/>
    </xf>
    <xf numFmtId="0" fontId="5" fillId="0" borderId="8" xfId="0" applyFont="1" applyBorder="1" applyAlignment="1">
      <alignment horizontal="left" vertical="center" wrapText="1"/>
    </xf>
    <xf numFmtId="0" fontId="5" fillId="0" borderId="13" xfId="0" applyFont="1" applyBorder="1" applyAlignment="1">
      <alignment horizontal="left" vertical="center" wrapText="1"/>
    </xf>
    <xf numFmtId="0" fontId="0" fillId="3" borderId="1" xfId="0" applyFill="1" applyBorder="1" applyAlignment="1">
      <alignment horizontal="center"/>
    </xf>
    <xf numFmtId="165" fontId="0" fillId="0" borderId="1" xfId="1" applyNumberFormat="1" applyFont="1" applyBorder="1" applyAlignment="1">
      <alignment horizontal="center"/>
    </xf>
    <xf numFmtId="10" fontId="3" fillId="3" borderId="6" xfId="1" applyNumberFormat="1" applyFont="1" applyFill="1" applyBorder="1" applyAlignment="1">
      <alignment horizontal="center"/>
    </xf>
    <xf numFmtId="10" fontId="3" fillId="3" borderId="7" xfId="1" applyNumberFormat="1" applyFont="1" applyFill="1" applyBorder="1" applyAlignment="1">
      <alignment horizontal="center"/>
    </xf>
    <xf numFmtId="165" fontId="2" fillId="0" borderId="19" xfId="0" applyNumberFormat="1" applyFont="1" applyBorder="1" applyAlignment="1">
      <alignment horizontal="center"/>
    </xf>
    <xf numFmtId="165" fontId="2" fillId="0" borderId="7" xfId="0" applyNumberFormat="1" applyFont="1" applyBorder="1" applyAlignment="1">
      <alignment horizontal="center"/>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15" fillId="0" borderId="8" xfId="0" applyFont="1" applyBorder="1" applyAlignment="1">
      <alignment horizontal="left" vertical="center" wrapText="1"/>
    </xf>
    <xf numFmtId="0" fontId="15" fillId="0" borderId="13" xfId="0" applyFont="1" applyBorder="1" applyAlignment="1">
      <alignment horizontal="left" vertical="center" wrapText="1"/>
    </xf>
    <xf numFmtId="165" fontId="3" fillId="3" borderId="6" xfId="1" applyNumberFormat="1" applyFont="1" applyFill="1" applyBorder="1" applyAlignment="1">
      <alignment horizontal="center"/>
    </xf>
    <xf numFmtId="165" fontId="3" fillId="3" borderId="7" xfId="1" applyNumberFormat="1" applyFont="1" applyFill="1" applyBorder="1" applyAlignment="1">
      <alignment horizontal="center"/>
    </xf>
    <xf numFmtId="165" fontId="3" fillId="0" borderId="17" xfId="0" applyNumberFormat="1" applyFont="1" applyFill="1" applyBorder="1" applyAlignment="1">
      <alignment horizontal="center"/>
    </xf>
    <xf numFmtId="165" fontId="3" fillId="0" borderId="11" xfId="0" applyNumberFormat="1" applyFont="1" applyFill="1" applyBorder="1" applyAlignment="1">
      <alignment horizontal="center"/>
    </xf>
    <xf numFmtId="166" fontId="3" fillId="3" borderId="6" xfId="1" applyNumberFormat="1" applyFont="1" applyFill="1" applyBorder="1" applyAlignment="1">
      <alignment horizontal="center"/>
    </xf>
    <xf numFmtId="166" fontId="3" fillId="3" borderId="7" xfId="1" applyNumberFormat="1" applyFont="1" applyFill="1" applyBorder="1" applyAlignment="1">
      <alignment horizontal="center"/>
    </xf>
    <xf numFmtId="165" fontId="3" fillId="0" borderId="1" xfId="0" applyNumberFormat="1" applyFont="1" applyFill="1" applyBorder="1" applyAlignment="1">
      <alignment horizontal="center"/>
    </xf>
    <xf numFmtId="0" fontId="0" fillId="3" borderId="2" xfId="0" applyFill="1" applyBorder="1" applyAlignment="1">
      <alignment horizontal="center"/>
    </xf>
    <xf numFmtId="0" fontId="14" fillId="0" borderId="0" xfId="0" applyFont="1" applyAlignment="1">
      <alignment horizontal="center"/>
    </xf>
  </cellXfs>
  <cellStyles count="3">
    <cellStyle name="Hyperlink" xfId="2" builtinId="8"/>
    <cellStyle name="Normal" xfId="0" builtinId="0"/>
    <cellStyle name="Percent" xfId="1" builtinId="5"/>
  </cellStyles>
  <dxfs count="1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00B050"/>
        </patternFill>
      </fill>
    </dxf>
    <dxf>
      <fill>
        <patternFill>
          <bgColor rgb="FFC00000"/>
        </patternFill>
      </fill>
    </dxf>
    <dxf>
      <fill>
        <patternFill>
          <bgColor theme="1" tint="0.14996795556505021"/>
        </patternFill>
      </fill>
    </dxf>
    <dxf>
      <fill>
        <patternFill>
          <bgColor theme="1"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fin.gov.on.ca/en/bulletins/ltt/2_2005.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canada.ca/en/financial-consumer-agency/services/mortgages/down-paymen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86"/>
  <sheetViews>
    <sheetView showGridLines="0" tabSelected="1" zoomScale="160" zoomScaleNormal="160" workbookViewId="0">
      <selection activeCell="B7" sqref="B7"/>
    </sheetView>
  </sheetViews>
  <sheetFormatPr defaultRowHeight="14.4" outlineLevelCol="1" x14ac:dyDescent="0.3"/>
  <cols>
    <col min="1" max="1" width="55.5546875" customWidth="1"/>
    <col min="2" max="3" width="12.21875" customWidth="1"/>
    <col min="4" max="11" width="8.88671875" hidden="1" customWidth="1" outlineLevel="1"/>
    <col min="12" max="12" width="8.88671875" collapsed="1"/>
  </cols>
  <sheetData>
    <row r="1" spans="1:11" x14ac:dyDescent="0.3">
      <c r="A1" s="101" t="s">
        <v>155</v>
      </c>
      <c r="B1" s="101"/>
      <c r="C1" s="101"/>
    </row>
    <row r="3" spans="1:11" x14ac:dyDescent="0.3">
      <c r="A3" s="104" t="s">
        <v>0</v>
      </c>
      <c r="B3" s="104"/>
      <c r="C3" s="104"/>
      <c r="G3" s="5"/>
      <c r="H3" s="5" t="s">
        <v>6</v>
      </c>
      <c r="I3" s="5" t="s">
        <v>9</v>
      </c>
      <c r="J3" s="5" t="s">
        <v>45</v>
      </c>
      <c r="K3" s="5"/>
    </row>
    <row r="4" spans="1:11" ht="6" customHeight="1" x14ac:dyDescent="0.3"/>
    <row r="5" spans="1:11" x14ac:dyDescent="0.3">
      <c r="A5" s="2" t="s">
        <v>46</v>
      </c>
      <c r="B5" s="110"/>
      <c r="C5" s="110"/>
      <c r="D5" s="4" t="s">
        <v>6</v>
      </c>
      <c r="E5" s="4" t="s">
        <v>9</v>
      </c>
      <c r="F5" s="4" t="s">
        <v>45</v>
      </c>
      <c r="G5" s="4">
        <f>IF(OR(ISBLANK(B5),B5=$D$5),1,0)</f>
        <v>1</v>
      </c>
      <c r="H5" s="4">
        <f>IF(B8="No",IF(B10="Yes",H11,H10),IF(B10="Yes",I11,I10))</f>
        <v>-4000</v>
      </c>
      <c r="I5" s="4">
        <f>IF(G8=1,IF(B10="yes",I11,I10),IF(G8=2,IF(B10="yes",K11,K10),IF(B10="yes",H11,H10)))</f>
        <v>0</v>
      </c>
      <c r="J5" s="4">
        <f>IF(G8=1,IF(B10="yes",I11,I10),IF(G8=2,IF(B10="yes",J11,J10),IF(B10="yes",H11,H10)))</f>
        <v>0</v>
      </c>
      <c r="K5" s="4"/>
    </row>
    <row r="6" spans="1:11" ht="6" customHeight="1" x14ac:dyDescent="0.3">
      <c r="A6" s="2"/>
      <c r="D6" s="4"/>
      <c r="E6" s="4"/>
      <c r="F6" s="4"/>
      <c r="G6" s="4"/>
      <c r="H6" s="4"/>
      <c r="I6" s="4"/>
      <c r="J6" s="4"/>
      <c r="K6" s="4"/>
    </row>
    <row r="7" spans="1:11" x14ac:dyDescent="0.3">
      <c r="A7" s="2"/>
      <c r="B7" s="1" t="s">
        <v>8</v>
      </c>
      <c r="C7" s="1">
        <f>B5</f>
        <v>0</v>
      </c>
      <c r="D7" s="4"/>
      <c r="E7" s="4"/>
      <c r="F7" s="4"/>
      <c r="G7" s="4"/>
      <c r="H7" s="4"/>
      <c r="I7" s="4"/>
      <c r="J7" s="4"/>
      <c r="K7" s="4"/>
    </row>
    <row r="8" spans="1:11" x14ac:dyDescent="0.3">
      <c r="A8" s="2" t="s">
        <v>21</v>
      </c>
      <c r="B8" s="10"/>
      <c r="C8" s="10"/>
      <c r="D8" s="4" t="s">
        <v>1</v>
      </c>
      <c r="E8" s="4" t="s">
        <v>2</v>
      </c>
      <c r="F8" s="4"/>
      <c r="G8" s="4">
        <f>IF(AND(B8="Yes",C8="Yes"),1,IF(OR(B8="yes",C8="yes"),2,0))</f>
        <v>0</v>
      </c>
    </row>
    <row r="9" spans="1:11" ht="42" customHeight="1" x14ac:dyDescent="0.3">
      <c r="A9" s="102" t="s">
        <v>47</v>
      </c>
      <c r="B9" s="102"/>
      <c r="C9" s="102"/>
      <c r="D9" s="4"/>
      <c r="E9" s="4"/>
      <c r="F9" s="4"/>
      <c r="G9" s="4"/>
      <c r="H9" s="19" t="s">
        <v>44</v>
      </c>
      <c r="I9" s="19" t="s">
        <v>43</v>
      </c>
      <c r="J9" s="19" t="s">
        <v>45</v>
      </c>
      <c r="K9" s="19" t="s">
        <v>7</v>
      </c>
    </row>
    <row r="10" spans="1:11" x14ac:dyDescent="0.3">
      <c r="A10" s="2" t="s">
        <v>22</v>
      </c>
      <c r="B10" s="110"/>
      <c r="C10" s="110"/>
      <c r="D10" s="4" t="s">
        <v>1</v>
      </c>
      <c r="E10" s="4" t="s">
        <v>2</v>
      </c>
      <c r="F10" s="4"/>
      <c r="G10" s="18" t="s">
        <v>42</v>
      </c>
      <c r="H10" s="4">
        <f>'Land Transfer Tax'!F4</f>
        <v>0</v>
      </c>
      <c r="I10" s="4">
        <f>'Land Transfer Tax'!G4</f>
        <v>-4000</v>
      </c>
      <c r="J10" s="4">
        <f>'Land Transfer Tax'!H4</f>
        <v>-4000</v>
      </c>
      <c r="K10" s="4">
        <f>'Land Transfer Tax'!I4</f>
        <v>-2000</v>
      </c>
    </row>
    <row r="11" spans="1:11" ht="28.8" customHeight="1" x14ac:dyDescent="0.3">
      <c r="A11" s="102" t="s">
        <v>48</v>
      </c>
      <c r="B11" s="102"/>
      <c r="C11" s="102"/>
      <c r="D11" s="4"/>
      <c r="E11" s="4"/>
      <c r="F11" s="4"/>
      <c r="G11" s="18" t="s">
        <v>61</v>
      </c>
      <c r="H11" s="4">
        <f>'Land Transfer Tax'!F5</f>
        <v>0</v>
      </c>
      <c r="I11" s="4">
        <f>'Land Transfer Tax'!G5</f>
        <v>-8475</v>
      </c>
      <c r="J11" s="4">
        <f>'Land Transfer Tax'!H5</f>
        <v>-8475</v>
      </c>
      <c r="K11" s="4">
        <f>'Land Transfer Tax'!I5</f>
        <v>-4237.5</v>
      </c>
    </row>
    <row r="12" spans="1:11" x14ac:dyDescent="0.3">
      <c r="A12" s="2" t="s">
        <v>19</v>
      </c>
      <c r="B12" s="126">
        <f>IF($G$5=1,SUM(B13,B15,B16,B18),SUM(D13,D15,D16,D18))</f>
        <v>0</v>
      </c>
      <c r="C12" s="126"/>
    </row>
    <row r="13" spans="1:11" x14ac:dyDescent="0.3">
      <c r="A13" s="3" t="s">
        <v>3</v>
      </c>
      <c r="B13" s="11"/>
      <c r="C13" s="11"/>
      <c r="D13" s="7">
        <f>IF(G5=1,0*C13,C13)+B13</f>
        <v>0</v>
      </c>
    </row>
    <row r="14" spans="1:11" x14ac:dyDescent="0.3">
      <c r="A14" s="3" t="s">
        <v>10</v>
      </c>
      <c r="B14" s="11"/>
      <c r="C14" s="11"/>
      <c r="D14" s="7">
        <f>IF(G6=1,0*C14,C14)+B14</f>
        <v>0</v>
      </c>
    </row>
    <row r="15" spans="1:11" x14ac:dyDescent="0.3">
      <c r="A15" s="3" t="s">
        <v>5</v>
      </c>
      <c r="B15" s="11"/>
      <c r="C15" s="11"/>
      <c r="D15" s="7">
        <f>IF(G7=1,0*C15,C15)+B15</f>
        <v>0</v>
      </c>
    </row>
    <row r="16" spans="1:11" x14ac:dyDescent="0.3">
      <c r="A16" s="3" t="s">
        <v>4</v>
      </c>
      <c r="B16" s="11"/>
      <c r="C16" s="11"/>
      <c r="D16" s="7">
        <f>IF(G8=1,0*C16,C16)+B16</f>
        <v>0</v>
      </c>
    </row>
    <row r="17" spans="1:11" ht="6" customHeight="1" x14ac:dyDescent="0.3"/>
    <row r="18" spans="1:11" x14ac:dyDescent="0.3">
      <c r="A18" s="3" t="s">
        <v>12</v>
      </c>
      <c r="B18" s="31">
        <f>IF(B8="Yes",IF(B14&gt;35000,35000,B14),0)</f>
        <v>0</v>
      </c>
      <c r="C18" s="31">
        <f>IF(C8="Yes",IF(C14&gt;35000,35000,C14),0)</f>
        <v>0</v>
      </c>
      <c r="D18" s="7">
        <f>IF(G10=1,0*C18,C18)+B18</f>
        <v>0</v>
      </c>
    </row>
    <row r="19" spans="1:11" ht="42" customHeight="1" x14ac:dyDescent="0.3">
      <c r="A19" s="102" t="s">
        <v>49</v>
      </c>
      <c r="B19" s="102"/>
      <c r="C19" s="102"/>
      <c r="D19" s="4"/>
      <c r="E19" s="4"/>
      <c r="F19" s="4"/>
      <c r="G19" s="4"/>
      <c r="H19" s="4"/>
      <c r="I19" s="4"/>
      <c r="J19" s="4"/>
      <c r="K19" s="4"/>
    </row>
    <row r="20" spans="1:11" ht="6" customHeight="1" thickBot="1" x14ac:dyDescent="0.35">
      <c r="A20" s="13"/>
      <c r="B20" s="13"/>
      <c r="C20" s="13"/>
    </row>
    <row r="21" spans="1:11" ht="6" customHeight="1" thickTop="1" x14ac:dyDescent="0.3"/>
    <row r="22" spans="1:11" x14ac:dyDescent="0.3">
      <c r="A22" s="104" t="s">
        <v>11</v>
      </c>
      <c r="B22" s="104"/>
      <c r="C22" s="104"/>
      <c r="G22" s="5"/>
      <c r="H22" s="5"/>
      <c r="I22" s="5"/>
      <c r="J22" s="5"/>
      <c r="K22" s="5"/>
    </row>
    <row r="23" spans="1:11" ht="6" customHeight="1" x14ac:dyDescent="0.3"/>
    <row r="24" spans="1:11" x14ac:dyDescent="0.3">
      <c r="A24" t="s">
        <v>31</v>
      </c>
      <c r="B24" s="110"/>
      <c r="C24" s="110"/>
    </row>
    <row r="25" spans="1:11" x14ac:dyDescent="0.3">
      <c r="A25" t="s">
        <v>32</v>
      </c>
      <c r="B25" s="110"/>
      <c r="C25" s="110"/>
    </row>
    <row r="26" spans="1:11" x14ac:dyDescent="0.3">
      <c r="A26" t="s">
        <v>14</v>
      </c>
      <c r="B26" s="127"/>
      <c r="C26" s="127"/>
      <c r="D26" s="4" t="s">
        <v>15</v>
      </c>
      <c r="E26" s="4" t="s">
        <v>16</v>
      </c>
      <c r="F26" s="4"/>
    </row>
    <row r="27" spans="1:11" x14ac:dyDescent="0.3">
      <c r="A27" s="2" t="s">
        <v>18</v>
      </c>
      <c r="B27" s="103"/>
      <c r="C27" s="103"/>
    </row>
    <row r="28" spans="1:11" ht="28.8" customHeight="1" thickBot="1" x14ac:dyDescent="0.35">
      <c r="A28" s="102" t="s">
        <v>140</v>
      </c>
      <c r="B28" s="102"/>
      <c r="C28" s="102"/>
      <c r="D28" s="4"/>
      <c r="E28" s="4"/>
      <c r="F28" s="4"/>
      <c r="G28" s="4"/>
      <c r="H28" s="4"/>
      <c r="I28" s="4"/>
      <c r="J28" s="4"/>
      <c r="K28" s="4"/>
    </row>
    <row r="29" spans="1:11" x14ac:dyDescent="0.3">
      <c r="A29" s="36" t="s">
        <v>13</v>
      </c>
      <c r="B29" s="105"/>
      <c r="C29" s="106"/>
    </row>
    <row r="30" spans="1:11" x14ac:dyDescent="0.3">
      <c r="A30" s="108" t="s">
        <v>139</v>
      </c>
      <c r="B30" s="32" t="s">
        <v>29</v>
      </c>
      <c r="C30" s="33" t="s">
        <v>30</v>
      </c>
    </row>
    <row r="31" spans="1:11" ht="15" thickBot="1" x14ac:dyDescent="0.35">
      <c r="A31" s="109"/>
      <c r="B31" s="34">
        <f>IF($B$26=$D26,5%*$B$27,10%*$B$27)</f>
        <v>0</v>
      </c>
      <c r="C31" s="35">
        <f>IF($B$26=$D26,8%*$B$27,12%*$B$27)</f>
        <v>0</v>
      </c>
    </row>
    <row r="32" spans="1:11" ht="6" customHeight="1" thickBot="1" x14ac:dyDescent="0.35">
      <c r="A32" s="21"/>
      <c r="B32" s="21"/>
      <c r="C32" s="21"/>
    </row>
    <row r="33" spans="1:11" x14ac:dyDescent="0.3">
      <c r="A33" s="36" t="s">
        <v>36</v>
      </c>
      <c r="B33" s="105"/>
      <c r="C33" s="106"/>
    </row>
    <row r="34" spans="1:11" x14ac:dyDescent="0.3">
      <c r="A34" s="108" t="s">
        <v>50</v>
      </c>
      <c r="B34" s="32" t="s">
        <v>29</v>
      </c>
      <c r="C34" s="33" t="s">
        <v>30</v>
      </c>
    </row>
    <row r="35" spans="1:11" ht="15" thickBot="1" x14ac:dyDescent="0.35">
      <c r="A35" s="109"/>
      <c r="B35" s="34">
        <f>IF($B$26=$D26,20*12,25*12)</f>
        <v>300</v>
      </c>
      <c r="C35" s="35">
        <f>IF($B$26=$D26,28*12,33*12)</f>
        <v>396</v>
      </c>
    </row>
    <row r="36" spans="1:11" ht="6" customHeight="1" thickBot="1" x14ac:dyDescent="0.35">
      <c r="A36" s="13"/>
      <c r="B36" s="13"/>
      <c r="C36" s="13"/>
    </row>
    <row r="37" spans="1:11" ht="6" customHeight="1" thickTop="1" x14ac:dyDescent="0.3"/>
    <row r="38" spans="1:11" x14ac:dyDescent="0.3">
      <c r="A38" s="104" t="s">
        <v>78</v>
      </c>
      <c r="B38" s="104"/>
      <c r="C38" s="104"/>
      <c r="G38" s="5"/>
      <c r="H38" s="5"/>
      <c r="I38" s="5"/>
      <c r="J38" s="5"/>
      <c r="K38" s="5"/>
    </row>
    <row r="39" spans="1:11" ht="6" customHeight="1" x14ac:dyDescent="0.3"/>
    <row r="40" spans="1:11" x14ac:dyDescent="0.3">
      <c r="A40" t="s">
        <v>33</v>
      </c>
      <c r="B40" s="110"/>
      <c r="C40" s="110"/>
    </row>
    <row r="41" spans="1:11" x14ac:dyDescent="0.3">
      <c r="A41" t="s">
        <v>32</v>
      </c>
      <c r="B41" s="110"/>
      <c r="C41" s="110"/>
    </row>
    <row r="42" spans="1:11" x14ac:dyDescent="0.3">
      <c r="A42" t="s">
        <v>14</v>
      </c>
      <c r="B42" s="110"/>
      <c r="C42" s="110"/>
      <c r="D42" s="4" t="s">
        <v>15</v>
      </c>
      <c r="E42" s="4" t="s">
        <v>16</v>
      </c>
      <c r="F42" s="4"/>
    </row>
    <row r="43" spans="1:11" x14ac:dyDescent="0.3">
      <c r="A43" s="2" t="s">
        <v>17</v>
      </c>
      <c r="B43" s="103"/>
      <c r="C43" s="103"/>
    </row>
    <row r="44" spans="1:11" ht="28.8" customHeight="1" x14ac:dyDescent="0.3">
      <c r="A44" s="102" t="s">
        <v>141</v>
      </c>
      <c r="B44" s="102"/>
      <c r="C44" s="102"/>
      <c r="D44" s="4"/>
      <c r="E44" s="4"/>
      <c r="F44" s="4"/>
      <c r="G44" s="4"/>
      <c r="H44" s="4"/>
      <c r="I44" s="4"/>
      <c r="J44" s="4"/>
      <c r="K44" s="4"/>
    </row>
    <row r="45" spans="1:11" x14ac:dyDescent="0.3">
      <c r="A45" t="s">
        <v>23</v>
      </c>
      <c r="B45" s="107" t="e">
        <f>INDEX($H$5:$J$5,1,MATCH($B$5,$H$3:$J$3,0))</f>
        <v>#N/A</v>
      </c>
      <c r="C45" s="107"/>
    </row>
    <row r="46" spans="1:11" x14ac:dyDescent="0.3">
      <c r="A46" s="2" t="s">
        <v>24</v>
      </c>
      <c r="B46" s="103"/>
      <c r="C46" s="103"/>
    </row>
    <row r="47" spans="1:11" x14ac:dyDescent="0.3">
      <c r="A47" t="s">
        <v>20</v>
      </c>
      <c r="B47" s="107" t="e">
        <f>B12-B45-B46</f>
        <v>#N/A</v>
      </c>
      <c r="C47" s="107"/>
    </row>
    <row r="48" spans="1:11" x14ac:dyDescent="0.3">
      <c r="A48" t="s">
        <v>52</v>
      </c>
      <c r="B48" s="111">
        <f>'Minimum Downpayment'!$B$6</f>
        <v>0</v>
      </c>
      <c r="C48" s="111"/>
    </row>
    <row r="49" spans="1:54" ht="28.8" customHeight="1" thickBot="1" x14ac:dyDescent="0.35">
      <c r="A49" s="102" t="s">
        <v>60</v>
      </c>
      <c r="B49" s="102"/>
      <c r="C49" s="102"/>
      <c r="D49" s="4"/>
      <c r="E49" s="4"/>
      <c r="F49" s="4"/>
      <c r="G49" s="4"/>
      <c r="H49" s="4"/>
      <c r="I49" s="4"/>
      <c r="J49" s="4"/>
      <c r="K49" s="4"/>
    </row>
    <row r="50" spans="1:54" x14ac:dyDescent="0.3">
      <c r="A50" s="36" t="s">
        <v>75</v>
      </c>
      <c r="B50" s="114" t="e">
        <f>IF(B47&gt;=B48,"Yes - Continue","No - Change your Inputs")</f>
        <v>#N/A</v>
      </c>
      <c r="C50" s="115"/>
      <c r="D50" t="e">
        <f>IF(LEFT(B50,1)="Y",1,0)</f>
        <v>#N/A</v>
      </c>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row>
    <row r="51" spans="1:54" x14ac:dyDescent="0.3">
      <c r="A51" s="97" t="s">
        <v>93</v>
      </c>
      <c r="B51" s="29"/>
      <c r="C51" s="98" t="e">
        <f>B51/B43</f>
        <v>#DIV/0!</v>
      </c>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row>
    <row r="52" spans="1:54" ht="28.8" customHeight="1" thickBot="1" x14ac:dyDescent="0.35">
      <c r="A52" s="109" t="s">
        <v>142</v>
      </c>
      <c r="B52" s="116"/>
      <c r="C52" s="117"/>
      <c r="D52" s="4"/>
      <c r="E52" s="4"/>
      <c r="F52" s="4"/>
      <c r="G52" s="4"/>
      <c r="H52" s="4"/>
      <c r="I52" s="4"/>
      <c r="J52" s="4"/>
      <c r="K52" s="4"/>
    </row>
    <row r="53" spans="1:54" x14ac:dyDescent="0.3">
      <c r="A53" s="36" t="s">
        <v>138</v>
      </c>
      <c r="B53" s="112">
        <v>6.9500000000000006E-2</v>
      </c>
      <c r="C53" s="113"/>
    </row>
    <row r="54" spans="1:54" ht="21" customHeight="1" x14ac:dyDescent="0.3">
      <c r="A54" s="118" t="s">
        <v>143</v>
      </c>
      <c r="B54" s="32" t="s">
        <v>29</v>
      </c>
      <c r="C54" s="33" t="s">
        <v>30</v>
      </c>
    </row>
    <row r="55" spans="1:54" ht="21" customHeight="1" thickBot="1" x14ac:dyDescent="0.35">
      <c r="A55" s="119"/>
      <c r="B55" s="44">
        <v>6.5000000000000002E-2</v>
      </c>
      <c r="C55" s="45">
        <v>7.4999999999999997E-2</v>
      </c>
    </row>
    <row r="56" spans="1:54" ht="6" customHeight="1" x14ac:dyDescent="0.3">
      <c r="A56" s="37"/>
      <c r="B56" s="28"/>
      <c r="C56" s="99"/>
    </row>
    <row r="57" spans="1:54" ht="15" thickBot="1" x14ac:dyDescent="0.35">
      <c r="A57" s="100" t="s">
        <v>25</v>
      </c>
      <c r="B57" s="122" t="e">
        <f>'Mortgage Calculations'!B9</f>
        <v>#DIV/0!</v>
      </c>
      <c r="C57" s="123"/>
    </row>
    <row r="58" spans="1:54" ht="42" customHeight="1" x14ac:dyDescent="0.3">
      <c r="A58" s="102" t="s">
        <v>73</v>
      </c>
      <c r="B58" s="102"/>
      <c r="C58" s="102"/>
      <c r="D58" s="4"/>
      <c r="E58" s="4"/>
      <c r="F58" s="4"/>
      <c r="G58" s="4"/>
      <c r="H58" s="4"/>
      <c r="I58" s="4"/>
      <c r="J58" s="4"/>
      <c r="K58" s="4"/>
    </row>
    <row r="59" spans="1:54" x14ac:dyDescent="0.3">
      <c r="A59" s="2" t="s">
        <v>34</v>
      </c>
      <c r="B59" s="103"/>
      <c r="C59" s="103"/>
      <c r="D59" s="4"/>
      <c r="E59" s="4"/>
      <c r="F59" s="4"/>
    </row>
    <row r="60" spans="1:54" ht="28.8" customHeight="1" x14ac:dyDescent="0.3">
      <c r="A60" s="102" t="s">
        <v>145</v>
      </c>
      <c r="B60" s="102"/>
      <c r="C60" s="102"/>
      <c r="D60" s="4"/>
      <c r="E60" s="4"/>
      <c r="F60" s="4"/>
      <c r="G60" s="4"/>
      <c r="H60" s="4"/>
      <c r="I60" s="4"/>
      <c r="J60" s="4"/>
      <c r="K60" s="4"/>
    </row>
    <row r="61" spans="1:54" x14ac:dyDescent="0.3">
      <c r="A61" s="2" t="s">
        <v>35</v>
      </c>
      <c r="B61" s="103"/>
      <c r="C61" s="103"/>
      <c r="D61" s="4"/>
      <c r="E61" s="4"/>
      <c r="F61" s="4"/>
    </row>
    <row r="62" spans="1:54" ht="28.8" customHeight="1" x14ac:dyDescent="0.3">
      <c r="A62" s="102" t="s">
        <v>144</v>
      </c>
      <c r="B62" s="102"/>
      <c r="C62" s="102"/>
      <c r="D62" s="4"/>
      <c r="E62" s="4"/>
      <c r="F62" s="4"/>
      <c r="G62" s="4"/>
      <c r="H62" s="4"/>
      <c r="I62" s="4"/>
      <c r="J62" s="4"/>
      <c r="K62" s="4"/>
    </row>
    <row r="63" spans="1:54" x14ac:dyDescent="0.3">
      <c r="A63" s="2" t="s">
        <v>51</v>
      </c>
      <c r="B63" s="103"/>
      <c r="C63" s="103"/>
      <c r="D63" s="4"/>
      <c r="E63" s="4"/>
      <c r="F63" s="4"/>
    </row>
    <row r="64" spans="1:54" ht="28.8" customHeight="1" x14ac:dyDescent="0.3">
      <c r="A64" s="102" t="s">
        <v>146</v>
      </c>
      <c r="B64" s="102"/>
      <c r="C64" s="102"/>
      <c r="D64" s="4"/>
      <c r="E64" s="4"/>
      <c r="F64" s="4"/>
      <c r="G64" s="4"/>
      <c r="H64" s="4"/>
      <c r="I64" s="4"/>
      <c r="J64" s="4"/>
      <c r="K64" s="4"/>
    </row>
    <row r="65" spans="1:11" x14ac:dyDescent="0.3">
      <c r="A65" s="2" t="s">
        <v>13</v>
      </c>
      <c r="B65" s="103"/>
      <c r="C65" s="103"/>
    </row>
    <row r="66" spans="1:11" ht="28.8" customHeight="1" thickBot="1" x14ac:dyDescent="0.35">
      <c r="A66" s="102" t="s">
        <v>139</v>
      </c>
      <c r="B66" s="102"/>
      <c r="C66" s="102"/>
      <c r="D66" s="4"/>
      <c r="E66" s="4"/>
      <c r="F66" s="4"/>
      <c r="G66" s="4"/>
      <c r="H66" s="4"/>
      <c r="I66" s="4"/>
      <c r="J66" s="4"/>
      <c r="K66" s="4"/>
    </row>
    <row r="67" spans="1:11" x14ac:dyDescent="0.3">
      <c r="A67" s="36" t="s">
        <v>76</v>
      </c>
      <c r="B67" s="120"/>
      <c r="C67" s="121"/>
    </row>
    <row r="68" spans="1:11" ht="21" customHeight="1" x14ac:dyDescent="0.3">
      <c r="A68" s="108" t="s">
        <v>77</v>
      </c>
      <c r="B68" s="32" t="s">
        <v>29</v>
      </c>
      <c r="C68" s="33" t="s">
        <v>30</v>
      </c>
    </row>
    <row r="69" spans="1:11" ht="21" customHeight="1" thickBot="1" x14ac:dyDescent="0.35">
      <c r="A69" s="109"/>
      <c r="B69" s="40">
        <f>IF($B$42=$D$42,0.25%*$B$43,0.75%*$B$43)</f>
        <v>0</v>
      </c>
      <c r="C69" s="41">
        <f>IF($B$42=$D$42,0.5%*$B$43,1%*$B$43)</f>
        <v>0</v>
      </c>
    </row>
    <row r="70" spans="1:11" ht="6" customHeight="1" thickBot="1" x14ac:dyDescent="0.35">
      <c r="A70" s="13"/>
      <c r="B70" s="13"/>
      <c r="C70" s="13"/>
    </row>
    <row r="71" spans="1:11" ht="6" customHeight="1" thickTop="1" x14ac:dyDescent="0.3"/>
    <row r="72" spans="1:11" x14ac:dyDescent="0.3">
      <c r="A72" s="104" t="s">
        <v>151</v>
      </c>
      <c r="B72" s="104"/>
      <c r="C72" s="104"/>
      <c r="G72" s="5"/>
      <c r="H72" s="5"/>
      <c r="I72" s="5"/>
      <c r="J72" s="5"/>
      <c r="K72" s="5"/>
    </row>
    <row r="73" spans="1:11" ht="6" customHeight="1" thickBot="1" x14ac:dyDescent="0.35"/>
    <row r="74" spans="1:11" x14ac:dyDescent="0.3">
      <c r="A74" s="36" t="s">
        <v>26</v>
      </c>
      <c r="B74" s="124"/>
      <c r="C74" s="125"/>
    </row>
    <row r="75" spans="1:11" ht="21" customHeight="1" x14ac:dyDescent="0.3">
      <c r="A75" s="108" t="s">
        <v>147</v>
      </c>
      <c r="B75" s="32" t="s">
        <v>29</v>
      </c>
      <c r="C75" s="33" t="s">
        <v>30</v>
      </c>
    </row>
    <row r="76" spans="1:11" ht="21" customHeight="1" thickBot="1" x14ac:dyDescent="0.35">
      <c r="A76" s="109"/>
      <c r="B76" s="38">
        <v>1.4999999999999999E-2</v>
      </c>
      <c r="C76" s="39">
        <v>0.03</v>
      </c>
    </row>
    <row r="77" spans="1:11" ht="6" customHeight="1" thickBot="1" x14ac:dyDescent="0.35">
      <c r="A77" s="9"/>
      <c r="B77" s="28"/>
      <c r="C77" s="27"/>
    </row>
    <row r="78" spans="1:11" x14ac:dyDescent="0.3">
      <c r="A78" s="36" t="s">
        <v>27</v>
      </c>
      <c r="B78" s="124"/>
      <c r="C78" s="125"/>
    </row>
    <row r="79" spans="1:11" ht="21" customHeight="1" x14ac:dyDescent="0.3">
      <c r="A79" s="108" t="s">
        <v>148</v>
      </c>
      <c r="B79" s="32" t="s">
        <v>29</v>
      </c>
      <c r="C79" s="33" t="s">
        <v>30</v>
      </c>
    </row>
    <row r="80" spans="1:11" ht="21" customHeight="1" thickBot="1" x14ac:dyDescent="0.35">
      <c r="A80" s="109"/>
      <c r="B80" s="38">
        <v>0.02</v>
      </c>
      <c r="C80" s="39">
        <v>0.12</v>
      </c>
    </row>
    <row r="81" spans="1:3" ht="6" customHeight="1" thickBot="1" x14ac:dyDescent="0.35">
      <c r="A81" s="9"/>
      <c r="B81" s="28"/>
      <c r="C81" s="27"/>
    </row>
    <row r="82" spans="1:3" x14ac:dyDescent="0.3">
      <c r="A82" s="36" t="s">
        <v>28</v>
      </c>
      <c r="B82" s="124"/>
      <c r="C82" s="125"/>
    </row>
    <row r="83" spans="1:3" ht="21" customHeight="1" x14ac:dyDescent="0.3">
      <c r="A83" s="108" t="s">
        <v>149</v>
      </c>
      <c r="B83" s="32" t="s">
        <v>29</v>
      </c>
      <c r="C83" s="33" t="s">
        <v>30</v>
      </c>
    </row>
    <row r="84" spans="1:3" ht="21" customHeight="1" thickBot="1" x14ac:dyDescent="0.35">
      <c r="A84" s="109"/>
      <c r="B84" s="38">
        <v>0.05</v>
      </c>
      <c r="C84" s="39">
        <v>0.09</v>
      </c>
    </row>
    <row r="85" spans="1:3" ht="6" customHeight="1" thickBot="1" x14ac:dyDescent="0.35">
      <c r="A85" s="13"/>
      <c r="B85" s="13"/>
      <c r="C85" s="13"/>
    </row>
    <row r="86" spans="1:3" ht="6" customHeight="1" thickTop="1" x14ac:dyDescent="0.3"/>
  </sheetData>
  <mergeCells count="52">
    <mergeCell ref="B42:C42"/>
    <mergeCell ref="A19:C19"/>
    <mergeCell ref="B24:C24"/>
    <mergeCell ref="B25:C25"/>
    <mergeCell ref="B40:C40"/>
    <mergeCell ref="B41:C41"/>
    <mergeCell ref="A30:A31"/>
    <mergeCell ref="B12:C12"/>
    <mergeCell ref="A9:C9"/>
    <mergeCell ref="A11:C11"/>
    <mergeCell ref="B29:C29"/>
    <mergeCell ref="B27:C27"/>
    <mergeCell ref="B26:C26"/>
    <mergeCell ref="A83:A84"/>
    <mergeCell ref="A75:A76"/>
    <mergeCell ref="B74:C74"/>
    <mergeCell ref="B78:C78"/>
    <mergeCell ref="B82:C82"/>
    <mergeCell ref="A79:A80"/>
    <mergeCell ref="B67:C67"/>
    <mergeCell ref="A58:C58"/>
    <mergeCell ref="A66:C66"/>
    <mergeCell ref="A72:C72"/>
    <mergeCell ref="B57:C57"/>
    <mergeCell ref="A60:C60"/>
    <mergeCell ref="B59:C59"/>
    <mergeCell ref="B61:C61"/>
    <mergeCell ref="A68:A69"/>
    <mergeCell ref="A64:C64"/>
    <mergeCell ref="B48:C48"/>
    <mergeCell ref="A49:C49"/>
    <mergeCell ref="B53:C53"/>
    <mergeCell ref="B65:C65"/>
    <mergeCell ref="B50:C50"/>
    <mergeCell ref="A52:C52"/>
    <mergeCell ref="A54:A55"/>
    <mergeCell ref="A1:C1"/>
    <mergeCell ref="A44:C44"/>
    <mergeCell ref="B43:C43"/>
    <mergeCell ref="B63:C63"/>
    <mergeCell ref="A62:C62"/>
    <mergeCell ref="A3:C3"/>
    <mergeCell ref="A22:C22"/>
    <mergeCell ref="A38:C38"/>
    <mergeCell ref="B33:C33"/>
    <mergeCell ref="B47:C47"/>
    <mergeCell ref="B45:C45"/>
    <mergeCell ref="A28:C28"/>
    <mergeCell ref="B46:C46"/>
    <mergeCell ref="A34:A35"/>
    <mergeCell ref="B5:C5"/>
    <mergeCell ref="B10:C10"/>
  </mergeCells>
  <conditionalFormatting sqref="C7:C8 C13:C16">
    <cfRule type="expression" dxfId="13" priority="13">
      <formula>$G$5=1</formula>
    </cfRule>
  </conditionalFormatting>
  <conditionalFormatting sqref="C18">
    <cfRule type="expression" dxfId="12" priority="11">
      <formula>$G$5=1</formula>
    </cfRule>
  </conditionalFormatting>
  <conditionalFormatting sqref="B50:C50">
    <cfRule type="expression" dxfId="11" priority="9">
      <formula>$D$50=0</formula>
    </cfRule>
    <cfRule type="expression" dxfId="10" priority="10">
      <formula>$D$50=1</formula>
    </cfRule>
  </conditionalFormatting>
  <conditionalFormatting sqref="B51">
    <cfRule type="expression" dxfId="9" priority="8">
      <formula>$D$50=0</formula>
    </cfRule>
  </conditionalFormatting>
  <conditionalFormatting sqref="B57:C57">
    <cfRule type="expression" dxfId="8" priority="6">
      <formula>$D$50=0</formula>
    </cfRule>
  </conditionalFormatting>
  <conditionalFormatting sqref="B59:C59">
    <cfRule type="expression" dxfId="7" priority="5">
      <formula>$D$50=0</formula>
    </cfRule>
  </conditionalFormatting>
  <conditionalFormatting sqref="B61:C61">
    <cfRule type="expression" dxfId="6" priority="4">
      <formula>$D$50=0</formula>
    </cfRule>
  </conditionalFormatting>
  <conditionalFormatting sqref="B63:C63">
    <cfRule type="expression" dxfId="5" priority="3">
      <formula>$D$50=0</formula>
    </cfRule>
  </conditionalFormatting>
  <conditionalFormatting sqref="B65:C65">
    <cfRule type="expression" dxfId="4" priority="2">
      <formula>$D$50=0</formula>
    </cfRule>
  </conditionalFormatting>
  <dataValidations count="2">
    <dataValidation type="list" allowBlank="1" showInputMessage="1" showErrorMessage="1" sqref="B42 B8:C8 B10 B26">
      <formula1>$D8:$E8</formula1>
    </dataValidation>
    <dataValidation type="list" allowBlank="1" showInputMessage="1" showErrorMessage="1" sqref="B5:C5">
      <formula1>$D5:$F5</formula1>
    </dataValidation>
  </dataValidations>
  <printOptions horizontalCentered="1"/>
  <pageMargins left="0.7" right="0.7" top="0.75" bottom="0.75" header="0.3" footer="0.3"/>
  <pageSetup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'Minimum Downpayment'!$B$12:$B$21</xm:f>
          </x14:formula1>
          <xm:sqref>B51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T37"/>
  <sheetViews>
    <sheetView showGridLines="0" zoomScale="130" zoomScaleNormal="130" workbookViewId="0">
      <selection activeCell="C48" sqref="C48"/>
    </sheetView>
  </sheetViews>
  <sheetFormatPr defaultRowHeight="14.4" outlineLevelRow="1" outlineLevelCol="1" x14ac:dyDescent="0.3"/>
  <cols>
    <col min="2" max="2" width="38" customWidth="1"/>
    <col min="3" max="3" width="54.77734375" style="53" customWidth="1"/>
    <col min="4" max="4" width="17.88671875" customWidth="1"/>
    <col min="5" max="7" width="3" customWidth="1"/>
    <col min="8" max="8" width="17.88671875" customWidth="1"/>
    <col min="9" max="9" width="4.109375" hidden="1" customWidth="1" outlineLevel="1"/>
    <col min="10" max="10" width="10.21875" hidden="1" customWidth="1" outlineLevel="1"/>
    <col min="11" max="19" width="8.88671875" hidden="1" customWidth="1" outlineLevel="1"/>
    <col min="20" max="20" width="8.88671875" collapsed="1"/>
  </cols>
  <sheetData>
    <row r="2" spans="2:19" ht="18" x14ac:dyDescent="0.35">
      <c r="B2" s="128" t="s">
        <v>152</v>
      </c>
      <c r="C2" s="128"/>
      <c r="D2" s="128"/>
      <c r="E2" s="128"/>
      <c r="F2" s="128"/>
      <c r="G2" s="128"/>
      <c r="H2" s="128"/>
    </row>
    <row r="3" spans="2:19" ht="6" customHeight="1" thickBot="1" x14ac:dyDescent="0.35">
      <c r="B3" s="13"/>
      <c r="C3" s="55"/>
      <c r="D3" s="13"/>
      <c r="E3" s="13"/>
      <c r="F3" s="13"/>
      <c r="G3" s="13"/>
      <c r="H3" s="13"/>
    </row>
    <row r="4" spans="2:19" ht="6" customHeight="1" thickTop="1" x14ac:dyDescent="0.3"/>
    <row r="5" spans="2:19" outlineLevel="1" x14ac:dyDescent="0.3">
      <c r="B5" s="2" t="s">
        <v>125</v>
      </c>
      <c r="C5" s="54" t="s">
        <v>123</v>
      </c>
      <c r="D5" s="58" t="s">
        <v>79</v>
      </c>
      <c r="E5" s="71"/>
      <c r="F5" s="71" t="s">
        <v>84</v>
      </c>
      <c r="G5" s="71"/>
      <c r="H5" s="58" t="s">
        <v>80</v>
      </c>
    </row>
    <row r="6" spans="2:19" outlineLevel="1" x14ac:dyDescent="0.3">
      <c r="B6" s="51"/>
      <c r="C6" s="56"/>
      <c r="D6" s="66"/>
      <c r="E6" s="72"/>
      <c r="F6" s="72"/>
      <c r="G6" s="72"/>
      <c r="H6" s="66"/>
    </row>
    <row r="7" spans="2:19" ht="6" customHeight="1" outlineLevel="1" x14ac:dyDescent="0.3">
      <c r="B7" s="2"/>
      <c r="C7" s="54"/>
      <c r="D7" s="58"/>
      <c r="E7" s="71"/>
      <c r="F7" s="71"/>
      <c r="G7" s="71"/>
      <c r="H7" s="58"/>
    </row>
    <row r="8" spans="2:19" outlineLevel="1" x14ac:dyDescent="0.3">
      <c r="B8" s="48" t="s">
        <v>111</v>
      </c>
      <c r="C8" s="91" t="s">
        <v>136</v>
      </c>
      <c r="D8" s="59">
        <f>IF(Inputs!$G$5=1,SUM(Inputs!B13:B16),SUM(Inputs!D13:D16))</f>
        <v>0</v>
      </c>
      <c r="E8" s="73"/>
      <c r="F8" s="73"/>
      <c r="G8" s="73"/>
      <c r="H8" s="59">
        <f>D8</f>
        <v>0</v>
      </c>
    </row>
    <row r="9" spans="2:19" outlineLevel="1" x14ac:dyDescent="0.3">
      <c r="B9" s="2" t="s">
        <v>110</v>
      </c>
      <c r="C9" s="91" t="s">
        <v>137</v>
      </c>
      <c r="D9" s="60">
        <f>D8</f>
        <v>0</v>
      </c>
      <c r="E9" s="71"/>
      <c r="F9" s="71"/>
      <c r="G9" s="71"/>
      <c r="H9" s="60" t="e">
        <f>H8-Inputs!B45-Inputs!B46-Inputs!B51</f>
        <v>#N/A</v>
      </c>
    </row>
    <row r="10" spans="2:19" ht="6" customHeight="1" outlineLevel="1" thickBot="1" x14ac:dyDescent="0.35">
      <c r="B10" s="13"/>
      <c r="C10" s="92"/>
      <c r="D10" s="67"/>
      <c r="E10" s="74"/>
      <c r="F10" s="74"/>
      <c r="G10" s="74"/>
      <c r="H10" s="67"/>
    </row>
    <row r="11" spans="2:19" ht="6" customHeight="1" outlineLevel="1" thickTop="1" x14ac:dyDescent="0.3">
      <c r="C11" s="91"/>
      <c r="D11" s="61"/>
      <c r="E11" s="75"/>
      <c r="F11" s="75"/>
      <c r="G11" s="75"/>
      <c r="H11" s="61"/>
    </row>
    <row r="12" spans="2:19" ht="15" customHeight="1" outlineLevel="1" x14ac:dyDescent="0.3">
      <c r="B12" t="s">
        <v>135</v>
      </c>
      <c r="C12" s="91"/>
      <c r="D12" s="88">
        <f>Inputs!$B$24</f>
        <v>0</v>
      </c>
      <c r="E12" s="75"/>
      <c r="F12" s="75"/>
      <c r="G12" s="75"/>
      <c r="H12" s="88">
        <f>Inputs!$B$40</f>
        <v>0</v>
      </c>
    </row>
    <row r="13" spans="2:19" x14ac:dyDescent="0.3">
      <c r="B13" s="83" t="s">
        <v>132</v>
      </c>
      <c r="C13" s="93"/>
      <c r="D13" s="84" t="s">
        <v>79</v>
      </c>
      <c r="E13" s="30"/>
      <c r="F13" s="30" t="s">
        <v>84</v>
      </c>
      <c r="G13" s="30"/>
      <c r="H13" s="84" t="s">
        <v>80</v>
      </c>
      <c r="K13" s="2" t="s">
        <v>112</v>
      </c>
      <c r="P13" s="2" t="s">
        <v>117</v>
      </c>
    </row>
    <row r="14" spans="2:19" x14ac:dyDescent="0.3">
      <c r="B14" s="2" t="s">
        <v>126</v>
      </c>
      <c r="C14" s="57" t="s">
        <v>136</v>
      </c>
      <c r="D14" s="60">
        <f>SUM(D15:D20)</f>
        <v>0</v>
      </c>
      <c r="E14" s="76"/>
      <c r="F14" s="76"/>
      <c r="G14" s="76"/>
      <c r="H14" s="60" t="e">
        <f>SUM(H15:H20)</f>
        <v>#DIV/0!</v>
      </c>
      <c r="K14" t="s">
        <v>113</v>
      </c>
      <c r="L14" t="s">
        <v>114</v>
      </c>
      <c r="M14" t="s">
        <v>115</v>
      </c>
      <c r="N14" t="s">
        <v>116</v>
      </c>
      <c r="P14" t="s">
        <v>113</v>
      </c>
      <c r="Q14" t="s">
        <v>114</v>
      </c>
      <c r="R14" t="s">
        <v>115</v>
      </c>
      <c r="S14" t="s">
        <v>116</v>
      </c>
    </row>
    <row r="15" spans="2:19" x14ac:dyDescent="0.3">
      <c r="B15" s="43" t="s">
        <v>100</v>
      </c>
      <c r="C15" s="91"/>
      <c r="D15" s="62">
        <f>Inputs!B27*12</f>
        <v>0</v>
      </c>
      <c r="E15" s="77"/>
      <c r="F15" s="77"/>
      <c r="G15" s="77"/>
      <c r="H15" s="62" t="e">
        <f>SUM('Mortgage Calculations'!$N$16:$N$27)</f>
        <v>#DIV/0!</v>
      </c>
      <c r="K15" s="46">
        <f>D15*(1+Inputs!$B$74)</f>
        <v>0</v>
      </c>
      <c r="L15" s="46">
        <f>K15*(1+Inputs!$B$74)</f>
        <v>0</v>
      </c>
      <c r="M15" s="46">
        <f>L15*(1+Inputs!$B$74)</f>
        <v>0</v>
      </c>
      <c r="N15" s="46">
        <f>M15*(1+Inputs!$B$74)</f>
        <v>0</v>
      </c>
      <c r="P15" s="46" t="e">
        <f>H15</f>
        <v>#DIV/0!</v>
      </c>
      <c r="Q15" s="46" t="e">
        <f>P15</f>
        <v>#DIV/0!</v>
      </c>
      <c r="R15" s="46" t="e">
        <f>Q15</f>
        <v>#DIV/0!</v>
      </c>
      <c r="S15" s="46" t="e">
        <f>R15</f>
        <v>#DIV/0!</v>
      </c>
    </row>
    <row r="16" spans="2:19" x14ac:dyDescent="0.3">
      <c r="B16" s="43" t="s">
        <v>82</v>
      </c>
      <c r="C16" s="91" t="s">
        <v>153</v>
      </c>
      <c r="D16" s="62">
        <f>Inputs!B33</f>
        <v>0</v>
      </c>
      <c r="E16" s="76"/>
      <c r="F16" s="76"/>
      <c r="G16" s="76"/>
      <c r="H16" s="62">
        <f>Inputs!B63*12</f>
        <v>0</v>
      </c>
      <c r="K16" s="46">
        <f>D16*(1+Inputs!$B$74)</f>
        <v>0</v>
      </c>
      <c r="L16" s="46">
        <f>K16*(1+Inputs!$B$74)</f>
        <v>0</v>
      </c>
      <c r="M16" s="46">
        <f>L16*(1+Inputs!$B$74)</f>
        <v>0</v>
      </c>
      <c r="N16" s="46">
        <f>M16*(1+Inputs!$B$74)</f>
        <v>0</v>
      </c>
      <c r="P16" s="46">
        <f>H16*(1+Inputs!$B$74)</f>
        <v>0</v>
      </c>
      <c r="Q16" s="46">
        <f>P16*(1+Inputs!$B$74)</f>
        <v>0</v>
      </c>
      <c r="R16" s="46">
        <f>Q16*(1+Inputs!$B$74)</f>
        <v>0</v>
      </c>
      <c r="S16" s="46">
        <f>R16*(1+Inputs!$B$74)</f>
        <v>0</v>
      </c>
    </row>
    <row r="17" spans="2:19" x14ac:dyDescent="0.3">
      <c r="B17" s="43" t="s">
        <v>98</v>
      </c>
      <c r="C17" s="91"/>
      <c r="D17" s="62">
        <f>Inputs!B29*12</f>
        <v>0</v>
      </c>
      <c r="E17" s="76"/>
      <c r="F17" s="76"/>
      <c r="G17" s="76"/>
      <c r="H17" s="62">
        <f>Inputs!B65*12</f>
        <v>0</v>
      </c>
      <c r="K17" s="46">
        <f>D17*(1+Inputs!$B$74)</f>
        <v>0</v>
      </c>
      <c r="L17" s="46">
        <f>K17*(1+Inputs!$B$74)</f>
        <v>0</v>
      </c>
      <c r="M17" s="46">
        <f>L17*(1+Inputs!$B$74)</f>
        <v>0</v>
      </c>
      <c r="N17" s="46">
        <f>M17*(1+Inputs!$B$74)</f>
        <v>0</v>
      </c>
      <c r="P17" s="46">
        <f>H17*(1+Inputs!$B$74)</f>
        <v>0</v>
      </c>
      <c r="Q17" s="46">
        <f>P17*(1+Inputs!$B$74)</f>
        <v>0</v>
      </c>
      <c r="R17" s="46">
        <f>Q17*(1+Inputs!$B$74)</f>
        <v>0</v>
      </c>
      <c r="S17" s="46">
        <f>R17*(1+Inputs!$B$74)</f>
        <v>0</v>
      </c>
    </row>
    <row r="18" spans="2:19" x14ac:dyDescent="0.3">
      <c r="B18" s="43" t="s">
        <v>97</v>
      </c>
      <c r="C18" s="91"/>
      <c r="D18" s="62">
        <v>0</v>
      </c>
      <c r="E18" s="76"/>
      <c r="F18" s="76"/>
      <c r="G18" s="76"/>
      <c r="H18" s="62">
        <f>Inputs!B59</f>
        <v>0</v>
      </c>
      <c r="K18" s="46">
        <f>D18*(1+Inputs!$B$74)</f>
        <v>0</v>
      </c>
      <c r="L18" s="46">
        <f>K18*(1+Inputs!$B$74)</f>
        <v>0</v>
      </c>
      <c r="M18" s="46">
        <f>L18*(1+Inputs!$B$74)</f>
        <v>0</v>
      </c>
      <c r="N18" s="46">
        <f>M18*(1+Inputs!$B$74)</f>
        <v>0</v>
      </c>
      <c r="P18" s="46">
        <f>H18*(1+Inputs!$B$74)</f>
        <v>0</v>
      </c>
      <c r="Q18" s="46">
        <f>P18*(1+Inputs!$B$74)</f>
        <v>0</v>
      </c>
      <c r="R18" s="46">
        <f>Q18*(1+Inputs!$B$74)</f>
        <v>0</v>
      </c>
      <c r="S18" s="46">
        <f>R18*(1+Inputs!$B$74)</f>
        <v>0</v>
      </c>
    </row>
    <row r="19" spans="2:19" x14ac:dyDescent="0.3">
      <c r="B19" s="43" t="s">
        <v>101</v>
      </c>
      <c r="C19" s="91" t="s">
        <v>154</v>
      </c>
      <c r="D19" s="62">
        <v>0</v>
      </c>
      <c r="E19" s="76"/>
      <c r="F19" s="76"/>
      <c r="G19" s="76"/>
      <c r="H19" s="62">
        <f>Inputs!B61*12</f>
        <v>0</v>
      </c>
      <c r="K19" s="46">
        <f>D19*(1+Inputs!$B$74)</f>
        <v>0</v>
      </c>
      <c r="L19" s="46">
        <f>K19*(1+Inputs!$B$74)</f>
        <v>0</v>
      </c>
      <c r="M19" s="46">
        <f>L19*(1+Inputs!$B$74)</f>
        <v>0</v>
      </c>
      <c r="N19" s="46">
        <f>M19*(1+Inputs!$B$74)</f>
        <v>0</v>
      </c>
      <c r="P19" s="46">
        <f>H19*(1+Inputs!$B$74)</f>
        <v>0</v>
      </c>
      <c r="Q19" s="46">
        <f>P19*(1+Inputs!$B$74)</f>
        <v>0</v>
      </c>
      <c r="R19" s="46">
        <f>Q19*(1+Inputs!$B$74)</f>
        <v>0</v>
      </c>
      <c r="S19" s="46">
        <f>R19*(1+Inputs!$B$74)</f>
        <v>0</v>
      </c>
    </row>
    <row r="20" spans="2:19" x14ac:dyDescent="0.3">
      <c r="B20" s="43" t="s">
        <v>99</v>
      </c>
      <c r="C20" s="91"/>
      <c r="D20" s="62">
        <v>0</v>
      </c>
      <c r="E20" s="76"/>
      <c r="F20" s="76"/>
      <c r="G20" s="76"/>
      <c r="H20" s="62">
        <f>Inputs!B67</f>
        <v>0</v>
      </c>
      <c r="K20" s="46">
        <f>D20*(1+Inputs!$B$74)</f>
        <v>0</v>
      </c>
      <c r="L20" s="46">
        <f>K20*(1+Inputs!$B$74)</f>
        <v>0</v>
      </c>
      <c r="M20" s="46">
        <f>L20*(1+Inputs!$B$74)</f>
        <v>0</v>
      </c>
      <c r="N20" s="46">
        <f>M20*(1+Inputs!$B$74)</f>
        <v>0</v>
      </c>
      <c r="P20" s="46">
        <f>H20*(1+Inputs!$B$74)</f>
        <v>0</v>
      </c>
      <c r="Q20" s="46">
        <f>P20*(1+Inputs!$B$74)</f>
        <v>0</v>
      </c>
      <c r="R20" s="46">
        <f>Q20*(1+Inputs!$B$74)</f>
        <v>0</v>
      </c>
      <c r="S20" s="46">
        <f>R20*(1+Inputs!$B$74)</f>
        <v>0</v>
      </c>
    </row>
    <row r="21" spans="2:19" ht="6" customHeight="1" thickBot="1" x14ac:dyDescent="0.35">
      <c r="B21" s="50"/>
      <c r="C21" s="92"/>
      <c r="D21" s="63"/>
      <c r="E21" s="78"/>
      <c r="F21" s="78"/>
      <c r="G21" s="78"/>
      <c r="H21" s="63"/>
    </row>
    <row r="22" spans="2:19" ht="6" customHeight="1" thickTop="1" x14ac:dyDescent="0.3">
      <c r="B22" s="43"/>
      <c r="C22" s="91"/>
      <c r="D22" s="64"/>
      <c r="E22" s="76"/>
      <c r="F22" s="76"/>
      <c r="G22" s="76"/>
      <c r="H22" s="64"/>
    </row>
    <row r="23" spans="2:19" x14ac:dyDescent="0.3">
      <c r="B23" s="48" t="s">
        <v>121</v>
      </c>
      <c r="C23" s="94" t="s">
        <v>122</v>
      </c>
      <c r="D23" s="59">
        <v>0</v>
      </c>
      <c r="E23" s="73"/>
      <c r="F23" s="73"/>
      <c r="G23" s="73"/>
      <c r="H23" s="59" t="e">
        <f>SUM('Mortgage Calculations'!P16:P27)</f>
        <v>#DIV/0!</v>
      </c>
      <c r="K23" s="46">
        <f>D23*(1+Inputs!$B$74)</f>
        <v>0</v>
      </c>
      <c r="L23" s="46">
        <f>K23*(1+Inputs!$B$74)</f>
        <v>0</v>
      </c>
      <c r="M23" s="46">
        <f>L23*(1+Inputs!$B$74)</f>
        <v>0</v>
      </c>
      <c r="N23" s="46">
        <f>M23*(1+Inputs!$B$74)</f>
        <v>0</v>
      </c>
      <c r="P23" s="46" t="e">
        <f>SUMIFS('Mortgage Calculations'!$P$15:$P$75,'Mortgage Calculations'!$L$15:$L$75,P$14)</f>
        <v>#DIV/0!</v>
      </c>
      <c r="Q23" s="46" t="e">
        <f>SUMIFS('Mortgage Calculations'!$P$15:$P$75,'Mortgage Calculations'!$L$15:$L$75,Q$14)</f>
        <v>#DIV/0!</v>
      </c>
      <c r="R23" s="46" t="e">
        <f>SUMIFS('Mortgage Calculations'!$P$15:$P$75,'Mortgage Calculations'!$L$15:$L$75,R$14)</f>
        <v>#DIV/0!</v>
      </c>
      <c r="S23" s="46" t="e">
        <f>SUMIFS('Mortgage Calculations'!$P$15:$P$75,'Mortgage Calculations'!$L$15:$L$75,S$14)</f>
        <v>#DIV/0!</v>
      </c>
    </row>
    <row r="24" spans="2:19" x14ac:dyDescent="0.3">
      <c r="B24" s="52" t="s">
        <v>124</v>
      </c>
      <c r="C24" s="94" t="s">
        <v>120</v>
      </c>
      <c r="D24" s="59" t="e">
        <f>H14-D14</f>
        <v>#DIV/0!</v>
      </c>
      <c r="E24" s="79"/>
      <c r="F24" s="79"/>
      <c r="G24" s="79"/>
      <c r="H24" s="59" t="e">
        <f>D14-H14</f>
        <v>#DIV/0!</v>
      </c>
      <c r="K24" s="46" t="e">
        <f>SUM(P15:P20)-SUM(K15:K20)</f>
        <v>#DIV/0!</v>
      </c>
      <c r="L24" s="46" t="e">
        <f>SUM(Q15:Q20)-SUM(L15:L20)</f>
        <v>#DIV/0!</v>
      </c>
      <c r="M24" s="46" t="e">
        <f>SUM(R15:R20)-SUM(M15:M20)</f>
        <v>#DIV/0!</v>
      </c>
      <c r="N24" s="46" t="e">
        <f>SUM(S15:S20)-SUM(N15:N20)</f>
        <v>#DIV/0!</v>
      </c>
      <c r="P24" s="46" t="e">
        <f>SUM(K15:K20)-SUM(P15:P20)</f>
        <v>#DIV/0!</v>
      </c>
      <c r="Q24" s="46" t="e">
        <f>SUM(L15:L20)-SUM(Q15:Q20)</f>
        <v>#DIV/0!</v>
      </c>
      <c r="R24" s="46" t="e">
        <f>SUM(M15:M20)-SUM(R15:R20)</f>
        <v>#DIV/0!</v>
      </c>
      <c r="S24" s="46" t="e">
        <f>SUM(N15:N20)-SUM(S15:S20)</f>
        <v>#DIV/0!</v>
      </c>
    </row>
    <row r="25" spans="2:19" ht="15" thickBot="1" x14ac:dyDescent="0.35">
      <c r="B25" s="68" t="s">
        <v>127</v>
      </c>
      <c r="C25" s="95"/>
      <c r="D25" s="70" t="e">
        <f>-H25</f>
        <v>#DIV/0!</v>
      </c>
      <c r="E25" s="80"/>
      <c r="F25" s="80"/>
      <c r="G25" s="80"/>
      <c r="H25" s="70" t="e">
        <f>H23+H24</f>
        <v>#DIV/0!</v>
      </c>
      <c r="J25" s="46" t="e">
        <f>D24*((1+Inputs!$B$78)^4)</f>
        <v>#DIV/0!</v>
      </c>
      <c r="K25" s="46" t="e">
        <f>K24*((1+Inputs!$B$78)^3)</f>
        <v>#DIV/0!</v>
      </c>
      <c r="L25" s="46" t="e">
        <f>L24*((1+Inputs!$B$78)^2)</f>
        <v>#DIV/0!</v>
      </c>
      <c r="M25" s="46" t="e">
        <f>M24*((1+Inputs!$B$78)^1)</f>
        <v>#DIV/0!</v>
      </c>
      <c r="N25" s="46" t="e">
        <f>N24*((1+Inputs!$B$78)^0)</f>
        <v>#DIV/0!</v>
      </c>
      <c r="O25" s="46" t="e">
        <f>H24*((1+Inputs!$B$78)^4)</f>
        <v>#DIV/0!</v>
      </c>
      <c r="P25" s="46" t="e">
        <f>P24*((1+Inputs!$B$78)^3)</f>
        <v>#DIV/0!</v>
      </c>
      <c r="Q25" s="46" t="e">
        <f>Q24*((1+Inputs!$B$78)^2)</f>
        <v>#DIV/0!</v>
      </c>
      <c r="R25" s="46" t="e">
        <f>R24*((1+Inputs!$B$78)^1)</f>
        <v>#DIV/0!</v>
      </c>
      <c r="S25" s="46" t="e">
        <f>S24*((1+Inputs!$B$78)^0)</f>
        <v>#DIV/0!</v>
      </c>
    </row>
    <row r="26" spans="2:19" ht="6" customHeight="1" outlineLevel="1" x14ac:dyDescent="0.3">
      <c r="C26" s="91"/>
      <c r="D26" s="61"/>
      <c r="E26" s="75"/>
      <c r="F26" s="75"/>
      <c r="G26" s="75"/>
      <c r="H26" s="61"/>
    </row>
    <row r="27" spans="2:19" ht="6" customHeight="1" outlineLevel="1" x14ac:dyDescent="0.3">
      <c r="C27" s="91"/>
      <c r="D27" s="61"/>
      <c r="E27" s="75"/>
      <c r="F27" s="75"/>
      <c r="G27" s="75"/>
      <c r="H27" s="61"/>
    </row>
    <row r="28" spans="2:19" outlineLevel="1" x14ac:dyDescent="0.3">
      <c r="B28" s="83" t="s">
        <v>131</v>
      </c>
      <c r="C28" s="96"/>
      <c r="D28" s="84" t="s">
        <v>79</v>
      </c>
      <c r="E28" s="30"/>
      <c r="F28" s="30" t="s">
        <v>84</v>
      </c>
      <c r="G28" s="30"/>
      <c r="H28" s="84" t="s">
        <v>80</v>
      </c>
    </row>
    <row r="29" spans="2:19" outlineLevel="1" x14ac:dyDescent="0.3">
      <c r="B29" t="s">
        <v>150</v>
      </c>
      <c r="C29" s="94" t="str">
        <f>"Based on your Input for Growth of Home Price ("&amp;Inputs!$B$82*100&amp;"%)"</f>
        <v>Based on your Input for Growth of Home Price (0%)</v>
      </c>
      <c r="D29" s="59">
        <v>0</v>
      </c>
      <c r="E29" s="75"/>
      <c r="F29" s="75"/>
      <c r="G29" s="75"/>
      <c r="H29" s="59">
        <f>Inputs!$B$43*((1+Inputs!$B$82)^5)*0.95</f>
        <v>0</v>
      </c>
    </row>
    <row r="30" spans="2:19" ht="15" outlineLevel="1" thickBot="1" x14ac:dyDescent="0.35">
      <c r="B30" s="13" t="s">
        <v>130</v>
      </c>
      <c r="C30" s="92" t="str">
        <f>"5-year fixed monthly fixed mortgage, 25-year term at "&amp;Inputs!$B$53*100&amp;"%"</f>
        <v>5-year fixed monthly fixed mortgage, 25-year term at 6.95%</v>
      </c>
      <c r="D30" s="65">
        <v>0</v>
      </c>
      <c r="E30" s="74"/>
      <c r="F30" s="74"/>
      <c r="G30" s="74"/>
      <c r="H30" s="65" t="e">
        <f>'Mortgage Calculations'!Q75</f>
        <v>#DIV/0!</v>
      </c>
    </row>
    <row r="31" spans="2:19" ht="15" outlineLevel="1" thickTop="1" x14ac:dyDescent="0.3">
      <c r="B31" s="2" t="s">
        <v>119</v>
      </c>
      <c r="C31" s="57"/>
      <c r="D31" s="60">
        <v>0</v>
      </c>
      <c r="E31" s="82"/>
      <c r="F31" s="82"/>
      <c r="G31" s="82"/>
      <c r="H31" s="60" t="e">
        <f>H29-H30</f>
        <v>#DIV/0!</v>
      </c>
    </row>
    <row r="32" spans="2:19" outlineLevel="1" x14ac:dyDescent="0.3">
      <c r="B32" s="52" t="s">
        <v>128</v>
      </c>
      <c r="C32" s="94" t="s">
        <v>120</v>
      </c>
      <c r="D32" s="59" t="e">
        <f>MAX(SUM(J25:N25),0)</f>
        <v>#DIV/0!</v>
      </c>
      <c r="E32" s="81"/>
      <c r="F32" s="81"/>
      <c r="G32" s="81"/>
      <c r="H32" s="59" t="e">
        <f>MAX(SUM(O25:S25),0)</f>
        <v>#DIV/0!</v>
      </c>
    </row>
    <row r="33" spans="2:10" outlineLevel="1" x14ac:dyDescent="0.3">
      <c r="B33" s="48" t="s">
        <v>129</v>
      </c>
      <c r="C33" s="91" t="s">
        <v>133</v>
      </c>
      <c r="D33" s="59">
        <f>D9*((1+Inputs!$B$78)^5)</f>
        <v>0</v>
      </c>
      <c r="E33" s="81"/>
      <c r="F33" s="81"/>
      <c r="G33" s="81"/>
      <c r="H33" s="59" t="e">
        <f>H9*((1+Inputs!$B$78)^5)</f>
        <v>#N/A</v>
      </c>
    </row>
    <row r="34" spans="2:10" outlineLevel="1" x14ac:dyDescent="0.3">
      <c r="B34" s="85" t="s">
        <v>118</v>
      </c>
      <c r="C34" s="86"/>
      <c r="D34" s="87" t="e">
        <f>D31+D33+D32</f>
        <v>#DIV/0!</v>
      </c>
      <c r="E34" s="85"/>
      <c r="F34" s="85"/>
      <c r="G34" s="85"/>
      <c r="H34" s="87" t="e">
        <f>H31+H33+H32</f>
        <v>#DIV/0!</v>
      </c>
      <c r="J34" s="46"/>
    </row>
    <row r="35" spans="2:10" ht="15" outlineLevel="1" thickBot="1" x14ac:dyDescent="0.35">
      <c r="B35" s="68" t="s">
        <v>134</v>
      </c>
      <c r="C35" s="69"/>
      <c r="D35" s="70" t="e">
        <f>MIN(0,H35)</f>
        <v>#DIV/0!</v>
      </c>
      <c r="E35" s="80"/>
      <c r="F35" s="80"/>
      <c r="G35" s="80"/>
      <c r="H35" s="70" t="e">
        <f>IF(J35&gt;0,J35,0)</f>
        <v>#DIV/0!</v>
      </c>
      <c r="J35" s="46" t="e">
        <f>H34-D34</f>
        <v>#DIV/0!</v>
      </c>
    </row>
    <row r="36" spans="2:10" ht="4.05" customHeight="1" outlineLevel="1" thickBot="1" x14ac:dyDescent="0.35">
      <c r="B36" s="89"/>
      <c r="C36" s="90"/>
      <c r="D36" s="89"/>
      <c r="E36" s="89"/>
      <c r="F36" s="89"/>
      <c r="G36" s="89"/>
      <c r="H36" s="89"/>
    </row>
    <row r="37" spans="2:10" ht="4.05" customHeight="1" outlineLevel="1" x14ac:dyDescent="0.3"/>
  </sheetData>
  <mergeCells count="1">
    <mergeCell ref="B2:H2"/>
  </mergeCells>
  <conditionalFormatting sqref="D25">
    <cfRule type="cellIs" dxfId="3" priority="4" operator="greaterThan">
      <formula>0</formula>
    </cfRule>
  </conditionalFormatting>
  <conditionalFormatting sqref="H25">
    <cfRule type="cellIs" dxfId="2" priority="3" operator="greaterThan">
      <formula>0</formula>
    </cfRule>
  </conditionalFormatting>
  <conditionalFormatting sqref="H35">
    <cfRule type="cellIs" dxfId="1" priority="2" operator="greaterThan">
      <formula>0</formula>
    </cfRule>
  </conditionalFormatting>
  <conditionalFormatting sqref="D35">
    <cfRule type="cellIs" dxfId="0" priority="1" operator="greaterThan">
      <formula>0</formula>
    </cfRule>
  </conditionalFormatting>
  <pageMargins left="0.7" right="0.7" top="0.75" bottom="0.75" header="0.3" footer="0.3"/>
  <pageSetup scale="8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zoomScale="130" zoomScaleNormal="130" workbookViewId="0">
      <selection activeCell="C13" sqref="C13"/>
    </sheetView>
  </sheetViews>
  <sheetFormatPr defaultRowHeight="14.4" x14ac:dyDescent="0.3"/>
  <cols>
    <col min="1" max="1" width="33.109375" bestFit="1" customWidth="1"/>
    <col min="2" max="4" width="11.33203125" style="1" customWidth="1"/>
    <col min="5" max="7" width="13.44140625" customWidth="1"/>
    <col min="8" max="8" width="13.5546875" customWidth="1"/>
    <col min="9" max="9" width="11.33203125" customWidth="1"/>
    <col min="10" max="15" width="13.5546875" customWidth="1"/>
    <col min="16" max="17" width="12" customWidth="1"/>
  </cols>
  <sheetData>
    <row r="1" spans="1:17" x14ac:dyDescent="0.3">
      <c r="A1" s="18" t="s">
        <v>72</v>
      </c>
      <c r="B1" s="4" t="s">
        <v>71</v>
      </c>
      <c r="C1" s="4" t="s">
        <v>67</v>
      </c>
      <c r="D1" s="4" t="s">
        <v>69</v>
      </c>
      <c r="E1" s="4" t="s">
        <v>70</v>
      </c>
    </row>
    <row r="2" spans="1:17" x14ac:dyDescent="0.3">
      <c r="A2" s="2" t="s">
        <v>68</v>
      </c>
      <c r="B2" s="24">
        <v>0</v>
      </c>
      <c r="C2" s="24">
        <v>2.8000000000000001E-2</v>
      </c>
      <c r="D2" s="24">
        <v>3.1E-2</v>
      </c>
      <c r="E2" s="24">
        <v>0.04</v>
      </c>
    </row>
    <row r="4" spans="1:17" x14ac:dyDescent="0.3">
      <c r="A4" t="s">
        <v>63</v>
      </c>
      <c r="B4" s="8">
        <f>Inputs!B43</f>
        <v>0</v>
      </c>
    </row>
    <row r="5" spans="1:17" x14ac:dyDescent="0.3">
      <c r="A5" t="s">
        <v>64</v>
      </c>
      <c r="B5" s="8">
        <f>Inputs!B51</f>
        <v>0</v>
      </c>
    </row>
    <row r="6" spans="1:17" x14ac:dyDescent="0.3">
      <c r="A6" t="s">
        <v>65</v>
      </c>
      <c r="B6" s="8">
        <f>B4-B5</f>
        <v>0</v>
      </c>
    </row>
    <row r="7" spans="1:17" x14ac:dyDescent="0.3">
      <c r="A7" s="2" t="s">
        <v>66</v>
      </c>
      <c r="B7" s="22" t="e">
        <f>B6/B4</f>
        <v>#DIV/0!</v>
      </c>
    </row>
    <row r="9" spans="1:17" x14ac:dyDescent="0.3">
      <c r="A9" s="2" t="s">
        <v>62</v>
      </c>
      <c r="B9" s="23" t="e">
        <f>IF(B7&lt;=80%,0,IF(B7&lt;=85%,C2,IF(B7&lt;=90%,D2,E2)))*B6</f>
        <v>#DIV/0!</v>
      </c>
    </row>
    <row r="11" spans="1:17" x14ac:dyDescent="0.3">
      <c r="A11" s="2" t="s">
        <v>74</v>
      </c>
      <c r="B11" s="23" t="e">
        <f>B9+B6</f>
        <v>#DIV/0!</v>
      </c>
    </row>
    <row r="12" spans="1:17" x14ac:dyDescent="0.3">
      <c r="F12" s="47" t="s">
        <v>102</v>
      </c>
      <c r="M12" s="47" t="s">
        <v>103</v>
      </c>
    </row>
    <row r="13" spans="1:17" x14ac:dyDescent="0.3">
      <c r="B13" s="1" t="s">
        <v>105</v>
      </c>
      <c r="C13" s="1" t="s">
        <v>104</v>
      </c>
    </row>
    <row r="14" spans="1:17" x14ac:dyDescent="0.3">
      <c r="A14" t="s">
        <v>85</v>
      </c>
      <c r="B14" s="8">
        <f>B6</f>
        <v>0</v>
      </c>
      <c r="C14" s="8" t="e">
        <f>B11</f>
        <v>#DIV/0!</v>
      </c>
      <c r="F14" s="1" t="s">
        <v>91</v>
      </c>
      <c r="G14" s="1" t="s">
        <v>94</v>
      </c>
      <c r="H14" s="1" t="s">
        <v>95</v>
      </c>
      <c r="I14" s="1" t="s">
        <v>92</v>
      </c>
      <c r="J14" s="1" t="s">
        <v>96</v>
      </c>
      <c r="M14" s="1" t="s">
        <v>91</v>
      </c>
      <c r="N14" s="1" t="s">
        <v>94</v>
      </c>
      <c r="O14" s="1" t="s">
        <v>95</v>
      </c>
      <c r="P14" s="1" t="s">
        <v>92</v>
      </c>
      <c r="Q14" s="1" t="s">
        <v>96</v>
      </c>
    </row>
    <row r="15" spans="1:17" x14ac:dyDescent="0.3">
      <c r="A15" t="s">
        <v>86</v>
      </c>
      <c r="B15" s="1">
        <f>Inputs!$B$53</f>
        <v>6.9500000000000006E-2</v>
      </c>
      <c r="C15" s="1">
        <f>Inputs!$B$53</f>
        <v>6.9500000000000006E-2</v>
      </c>
      <c r="F15" s="1">
        <v>0</v>
      </c>
      <c r="G15" s="1">
        <v>0</v>
      </c>
      <c r="H15" s="1">
        <v>0</v>
      </c>
      <c r="I15" s="1">
        <v>0</v>
      </c>
      <c r="J15" s="8">
        <f>$B$14-I15</f>
        <v>0</v>
      </c>
      <c r="M15" s="1">
        <v>0</v>
      </c>
      <c r="N15" s="1">
        <v>0</v>
      </c>
      <c r="O15" s="1">
        <v>0</v>
      </c>
      <c r="P15" s="1">
        <v>0</v>
      </c>
      <c r="Q15" s="8" t="e">
        <f>$C$14-P15</f>
        <v>#DIV/0!</v>
      </c>
    </row>
    <row r="16" spans="1:17" x14ac:dyDescent="0.3">
      <c r="A16" t="s">
        <v>87</v>
      </c>
      <c r="B16" s="1">
        <v>25</v>
      </c>
      <c r="C16" s="1">
        <v>25</v>
      </c>
      <c r="F16" s="1">
        <v>1</v>
      </c>
      <c r="G16" s="42">
        <f>$B$19</f>
        <v>0</v>
      </c>
      <c r="H16" s="42">
        <f>J15*($B$15/$B$17)</f>
        <v>0</v>
      </c>
      <c r="I16" s="42">
        <f>G16-H16</f>
        <v>0</v>
      </c>
      <c r="J16" s="8">
        <f>J15-I16</f>
        <v>0</v>
      </c>
      <c r="M16" s="1">
        <v>1</v>
      </c>
      <c r="N16" s="42" t="e">
        <f>$C$19</f>
        <v>#DIV/0!</v>
      </c>
      <c r="O16" s="42" t="e">
        <f>Q15*($B$15/$B$17)</f>
        <v>#DIV/0!</v>
      </c>
      <c r="P16" s="42" t="e">
        <f>N16-O16</f>
        <v>#DIV/0!</v>
      </c>
      <c r="Q16" s="8" t="e">
        <f>Q15-P16</f>
        <v>#DIV/0!</v>
      </c>
    </row>
    <row r="17" spans="1:17" x14ac:dyDescent="0.3">
      <c r="A17" t="s">
        <v>88</v>
      </c>
      <c r="B17" s="1">
        <v>12</v>
      </c>
      <c r="C17" s="1">
        <v>12</v>
      </c>
      <c r="F17" s="1">
        <v>2</v>
      </c>
      <c r="G17" s="42">
        <f t="shared" ref="G17:G75" si="0">$B$19</f>
        <v>0</v>
      </c>
      <c r="H17" s="42">
        <f t="shared" ref="H17:H75" si="1">J16*($B$15/$B$17)</f>
        <v>0</v>
      </c>
      <c r="I17" s="42">
        <f t="shared" ref="I17:I75" si="2">G17-H17</f>
        <v>0</v>
      </c>
      <c r="J17" s="8">
        <f t="shared" ref="J17:J75" si="3">J16-I17</f>
        <v>0</v>
      </c>
      <c r="M17" s="1">
        <v>2</v>
      </c>
      <c r="N17" s="42" t="e">
        <f t="shared" ref="N17:N75" si="4">$C$19</f>
        <v>#DIV/0!</v>
      </c>
      <c r="O17" s="42" t="e">
        <f t="shared" ref="O17:O75" si="5">Q16*($B$15/$B$17)</f>
        <v>#DIV/0!</v>
      </c>
      <c r="P17" s="42" t="e">
        <f t="shared" ref="P17:P75" si="6">N17-O17</f>
        <v>#DIV/0!</v>
      </c>
      <c r="Q17" s="8" t="e">
        <f t="shared" ref="Q17:Q75" si="7">Q16-P17</f>
        <v>#DIV/0!</v>
      </c>
    </row>
    <row r="18" spans="1:17" x14ac:dyDescent="0.3">
      <c r="A18" t="s">
        <v>89</v>
      </c>
      <c r="B18" s="1">
        <f>B17*B16</f>
        <v>300</v>
      </c>
      <c r="C18" s="1">
        <f>C17*C16</f>
        <v>300</v>
      </c>
      <c r="F18" s="1">
        <v>3</v>
      </c>
      <c r="G18" s="42">
        <f t="shared" si="0"/>
        <v>0</v>
      </c>
      <c r="H18" s="42">
        <f t="shared" si="1"/>
        <v>0</v>
      </c>
      <c r="I18" s="42">
        <f t="shared" si="2"/>
        <v>0</v>
      </c>
      <c r="J18" s="8">
        <f t="shared" si="3"/>
        <v>0</v>
      </c>
      <c r="M18" s="1">
        <v>3</v>
      </c>
      <c r="N18" s="42" t="e">
        <f t="shared" si="4"/>
        <v>#DIV/0!</v>
      </c>
      <c r="O18" s="42" t="e">
        <f t="shared" si="5"/>
        <v>#DIV/0!</v>
      </c>
      <c r="P18" s="42" t="e">
        <f t="shared" si="6"/>
        <v>#DIV/0!</v>
      </c>
      <c r="Q18" s="8" t="e">
        <f t="shared" si="7"/>
        <v>#DIV/0!</v>
      </c>
    </row>
    <row r="19" spans="1:17" x14ac:dyDescent="0.3">
      <c r="A19" t="s">
        <v>90</v>
      </c>
      <c r="B19" s="42">
        <f>-PMT(B15/B17,B18,B14,0)</f>
        <v>0</v>
      </c>
      <c r="C19" s="42" t="e">
        <f>-PMT(C15/C17,C18,C14,0)</f>
        <v>#DIV/0!</v>
      </c>
      <c r="F19" s="1">
        <v>4</v>
      </c>
      <c r="G19" s="42">
        <f t="shared" si="0"/>
        <v>0</v>
      </c>
      <c r="H19" s="42">
        <f t="shared" si="1"/>
        <v>0</v>
      </c>
      <c r="I19" s="42">
        <f t="shared" si="2"/>
        <v>0</v>
      </c>
      <c r="J19" s="8">
        <f t="shared" si="3"/>
        <v>0</v>
      </c>
      <c r="M19" s="1">
        <v>4</v>
      </c>
      <c r="N19" s="42" t="e">
        <f t="shared" si="4"/>
        <v>#DIV/0!</v>
      </c>
      <c r="O19" s="42" t="e">
        <f t="shared" si="5"/>
        <v>#DIV/0!</v>
      </c>
      <c r="P19" s="42" t="e">
        <f t="shared" si="6"/>
        <v>#DIV/0!</v>
      </c>
      <c r="Q19" s="8" t="e">
        <f t="shared" si="7"/>
        <v>#DIV/0!</v>
      </c>
    </row>
    <row r="20" spans="1:17" x14ac:dyDescent="0.3">
      <c r="F20" s="1">
        <v>5</v>
      </c>
      <c r="G20" s="42">
        <f t="shared" si="0"/>
        <v>0</v>
      </c>
      <c r="H20" s="42">
        <f t="shared" si="1"/>
        <v>0</v>
      </c>
      <c r="I20" s="42">
        <f t="shared" si="2"/>
        <v>0</v>
      </c>
      <c r="J20" s="8">
        <f t="shared" si="3"/>
        <v>0</v>
      </c>
      <c r="M20" s="1">
        <v>5</v>
      </c>
      <c r="N20" s="42" t="e">
        <f t="shared" si="4"/>
        <v>#DIV/0!</v>
      </c>
      <c r="O20" s="42" t="e">
        <f t="shared" si="5"/>
        <v>#DIV/0!</v>
      </c>
      <c r="P20" s="42" t="e">
        <f t="shared" si="6"/>
        <v>#DIV/0!</v>
      </c>
      <c r="Q20" s="8" t="e">
        <f t="shared" si="7"/>
        <v>#DIV/0!</v>
      </c>
    </row>
    <row r="21" spans="1:17" x14ac:dyDescent="0.3">
      <c r="A21" s="2" t="s">
        <v>108</v>
      </c>
      <c r="B21" s="5" t="s">
        <v>105</v>
      </c>
      <c r="C21" s="5" t="s">
        <v>104</v>
      </c>
      <c r="D21" s="5" t="s">
        <v>107</v>
      </c>
      <c r="F21" s="1">
        <v>6</v>
      </c>
      <c r="G21" s="42">
        <f t="shared" si="0"/>
        <v>0</v>
      </c>
      <c r="H21" s="42">
        <f t="shared" si="1"/>
        <v>0</v>
      </c>
      <c r="I21" s="42">
        <f t="shared" si="2"/>
        <v>0</v>
      </c>
      <c r="J21" s="8">
        <f t="shared" si="3"/>
        <v>0</v>
      </c>
      <c r="M21" s="1">
        <v>6</v>
      </c>
      <c r="N21" s="42" t="e">
        <f t="shared" si="4"/>
        <v>#DIV/0!</v>
      </c>
      <c r="O21" s="42" t="e">
        <f t="shared" si="5"/>
        <v>#DIV/0!</v>
      </c>
      <c r="P21" s="42" t="e">
        <f t="shared" si="6"/>
        <v>#DIV/0!</v>
      </c>
      <c r="Q21" s="8" t="e">
        <f t="shared" si="7"/>
        <v>#DIV/0!</v>
      </c>
    </row>
    <row r="22" spans="1:17" x14ac:dyDescent="0.3">
      <c r="A22" t="s">
        <v>109</v>
      </c>
      <c r="B22" s="8">
        <f>SUM(G$15:G$75)</f>
        <v>0</v>
      </c>
      <c r="C22" s="8" t="e">
        <f>SUM(N$15:N$75)</f>
        <v>#DIV/0!</v>
      </c>
      <c r="D22" s="8" t="e">
        <f>C22-B22</f>
        <v>#DIV/0!</v>
      </c>
      <c r="F22" s="1">
        <v>7</v>
      </c>
      <c r="G22" s="42">
        <f t="shared" si="0"/>
        <v>0</v>
      </c>
      <c r="H22" s="42">
        <f t="shared" si="1"/>
        <v>0</v>
      </c>
      <c r="I22" s="42">
        <f t="shared" si="2"/>
        <v>0</v>
      </c>
      <c r="J22" s="8">
        <f t="shared" si="3"/>
        <v>0</v>
      </c>
      <c r="M22" s="1">
        <v>7</v>
      </c>
      <c r="N22" s="42" t="e">
        <f t="shared" si="4"/>
        <v>#DIV/0!</v>
      </c>
      <c r="O22" s="42" t="e">
        <f t="shared" si="5"/>
        <v>#DIV/0!</v>
      </c>
      <c r="P22" s="42" t="e">
        <f t="shared" si="6"/>
        <v>#DIV/0!</v>
      </c>
      <c r="Q22" s="8" t="e">
        <f t="shared" si="7"/>
        <v>#DIV/0!</v>
      </c>
    </row>
    <row r="23" spans="1:17" ht="15" thickBot="1" x14ac:dyDescent="0.35">
      <c r="A23" s="13" t="s">
        <v>106</v>
      </c>
      <c r="B23" s="49">
        <f>SUM(H$15:H$75)</f>
        <v>0</v>
      </c>
      <c r="C23" s="49" t="e">
        <f>SUM(O$15:O$75)</f>
        <v>#DIV/0!</v>
      </c>
      <c r="D23" s="49" t="e">
        <f>C23-B23</f>
        <v>#DIV/0!</v>
      </c>
      <c r="F23" s="1">
        <v>8</v>
      </c>
      <c r="G23" s="42">
        <f t="shared" si="0"/>
        <v>0</v>
      </c>
      <c r="H23" s="42">
        <f t="shared" si="1"/>
        <v>0</v>
      </c>
      <c r="I23" s="42">
        <f t="shared" si="2"/>
        <v>0</v>
      </c>
      <c r="J23" s="8">
        <f t="shared" si="3"/>
        <v>0</v>
      </c>
      <c r="M23" s="1">
        <v>8</v>
      </c>
      <c r="N23" s="42" t="e">
        <f t="shared" si="4"/>
        <v>#DIV/0!</v>
      </c>
      <c r="O23" s="42" t="e">
        <f t="shared" si="5"/>
        <v>#DIV/0!</v>
      </c>
      <c r="P23" s="42" t="e">
        <f t="shared" si="6"/>
        <v>#DIV/0!</v>
      </c>
      <c r="Q23" s="8" t="e">
        <f t="shared" si="7"/>
        <v>#DIV/0!</v>
      </c>
    </row>
    <row r="24" spans="1:17" ht="15" thickTop="1" x14ac:dyDescent="0.3">
      <c r="A24" s="47" t="s">
        <v>83</v>
      </c>
      <c r="B24" s="12">
        <f>B22-B23</f>
        <v>0</v>
      </c>
      <c r="C24" s="12" t="e">
        <f>C22-C23</f>
        <v>#DIV/0!</v>
      </c>
      <c r="D24" s="12" t="e">
        <f>D22-D23</f>
        <v>#DIV/0!</v>
      </c>
      <c r="F24" s="1">
        <v>9</v>
      </c>
      <c r="G24" s="42">
        <f t="shared" si="0"/>
        <v>0</v>
      </c>
      <c r="H24" s="42">
        <f t="shared" si="1"/>
        <v>0</v>
      </c>
      <c r="I24" s="42">
        <f t="shared" si="2"/>
        <v>0</v>
      </c>
      <c r="J24" s="8">
        <f t="shared" si="3"/>
        <v>0</v>
      </c>
      <c r="M24" s="1">
        <v>9</v>
      </c>
      <c r="N24" s="42" t="e">
        <f t="shared" si="4"/>
        <v>#DIV/0!</v>
      </c>
      <c r="O24" s="42" t="e">
        <f t="shared" si="5"/>
        <v>#DIV/0!</v>
      </c>
      <c r="P24" s="42" t="e">
        <f t="shared" si="6"/>
        <v>#DIV/0!</v>
      </c>
      <c r="Q24" s="8" t="e">
        <f t="shared" si="7"/>
        <v>#DIV/0!</v>
      </c>
    </row>
    <row r="25" spans="1:17" x14ac:dyDescent="0.3">
      <c r="F25" s="1">
        <v>10</v>
      </c>
      <c r="G25" s="42">
        <f t="shared" si="0"/>
        <v>0</v>
      </c>
      <c r="H25" s="42">
        <f t="shared" si="1"/>
        <v>0</v>
      </c>
      <c r="I25" s="42">
        <f t="shared" si="2"/>
        <v>0</v>
      </c>
      <c r="J25" s="8">
        <f t="shared" si="3"/>
        <v>0</v>
      </c>
      <c r="M25" s="1">
        <v>10</v>
      </c>
      <c r="N25" s="42" t="e">
        <f t="shared" si="4"/>
        <v>#DIV/0!</v>
      </c>
      <c r="O25" s="42" t="e">
        <f t="shared" si="5"/>
        <v>#DIV/0!</v>
      </c>
      <c r="P25" s="42" t="e">
        <f t="shared" si="6"/>
        <v>#DIV/0!</v>
      </c>
      <c r="Q25" s="8" t="e">
        <f t="shared" si="7"/>
        <v>#DIV/0!</v>
      </c>
    </row>
    <row r="26" spans="1:17" x14ac:dyDescent="0.3">
      <c r="F26" s="1">
        <v>11</v>
      </c>
      <c r="G26" s="42">
        <f t="shared" si="0"/>
        <v>0</v>
      </c>
      <c r="H26" s="42">
        <f t="shared" si="1"/>
        <v>0</v>
      </c>
      <c r="I26" s="42">
        <f t="shared" si="2"/>
        <v>0</v>
      </c>
      <c r="J26" s="8">
        <f t="shared" si="3"/>
        <v>0</v>
      </c>
      <c r="M26" s="1">
        <v>11</v>
      </c>
      <c r="N26" s="42" t="e">
        <f t="shared" si="4"/>
        <v>#DIV/0!</v>
      </c>
      <c r="O26" s="42" t="e">
        <f t="shared" si="5"/>
        <v>#DIV/0!</v>
      </c>
      <c r="P26" s="42" t="e">
        <f t="shared" si="6"/>
        <v>#DIV/0!</v>
      </c>
      <c r="Q26" s="8" t="e">
        <f t="shared" si="7"/>
        <v>#DIV/0!</v>
      </c>
    </row>
    <row r="27" spans="1:17" x14ac:dyDescent="0.3">
      <c r="F27" s="1">
        <v>12</v>
      </c>
      <c r="G27" s="42">
        <f t="shared" si="0"/>
        <v>0</v>
      </c>
      <c r="H27" s="42">
        <f t="shared" si="1"/>
        <v>0</v>
      </c>
      <c r="I27" s="42">
        <f t="shared" si="2"/>
        <v>0</v>
      </c>
      <c r="J27" s="8">
        <f t="shared" si="3"/>
        <v>0</v>
      </c>
      <c r="M27" s="1">
        <v>12</v>
      </c>
      <c r="N27" s="42" t="e">
        <f t="shared" si="4"/>
        <v>#DIV/0!</v>
      </c>
      <c r="O27" s="42" t="e">
        <f t="shared" si="5"/>
        <v>#DIV/0!</v>
      </c>
      <c r="P27" s="42" t="e">
        <f t="shared" si="6"/>
        <v>#DIV/0!</v>
      </c>
      <c r="Q27" s="8" t="e">
        <f t="shared" si="7"/>
        <v>#DIV/0!</v>
      </c>
    </row>
    <row r="28" spans="1:17" x14ac:dyDescent="0.3">
      <c r="F28" s="1">
        <v>13</v>
      </c>
      <c r="G28" s="42">
        <f t="shared" si="0"/>
        <v>0</v>
      </c>
      <c r="H28" s="42">
        <f t="shared" si="1"/>
        <v>0</v>
      </c>
      <c r="I28" s="42">
        <f t="shared" si="2"/>
        <v>0</v>
      </c>
      <c r="J28" s="8">
        <f t="shared" si="3"/>
        <v>0</v>
      </c>
      <c r="L28" t="s">
        <v>113</v>
      </c>
      <c r="M28" s="1">
        <v>13</v>
      </c>
      <c r="N28" s="42" t="e">
        <f t="shared" si="4"/>
        <v>#DIV/0!</v>
      </c>
      <c r="O28" s="42" t="e">
        <f t="shared" si="5"/>
        <v>#DIV/0!</v>
      </c>
      <c r="P28" s="42" t="e">
        <f t="shared" si="6"/>
        <v>#DIV/0!</v>
      </c>
      <c r="Q28" s="8" t="e">
        <f t="shared" si="7"/>
        <v>#DIV/0!</v>
      </c>
    </row>
    <row r="29" spans="1:17" x14ac:dyDescent="0.3">
      <c r="F29" s="1">
        <v>14</v>
      </c>
      <c r="G29" s="42">
        <f t="shared" si="0"/>
        <v>0</v>
      </c>
      <c r="H29" s="42">
        <f t="shared" si="1"/>
        <v>0</v>
      </c>
      <c r="I29" s="42">
        <f t="shared" si="2"/>
        <v>0</v>
      </c>
      <c r="J29" s="8">
        <f t="shared" si="3"/>
        <v>0</v>
      </c>
      <c r="L29" t="s">
        <v>113</v>
      </c>
      <c r="M29" s="1">
        <v>14</v>
      </c>
      <c r="N29" s="42" t="e">
        <f t="shared" si="4"/>
        <v>#DIV/0!</v>
      </c>
      <c r="O29" s="42" t="e">
        <f t="shared" si="5"/>
        <v>#DIV/0!</v>
      </c>
      <c r="P29" s="42" t="e">
        <f t="shared" si="6"/>
        <v>#DIV/0!</v>
      </c>
      <c r="Q29" s="8" t="e">
        <f t="shared" si="7"/>
        <v>#DIV/0!</v>
      </c>
    </row>
    <row r="30" spans="1:17" x14ac:dyDescent="0.3">
      <c r="F30" s="1">
        <v>15</v>
      </c>
      <c r="G30" s="42">
        <f t="shared" si="0"/>
        <v>0</v>
      </c>
      <c r="H30" s="42">
        <f t="shared" si="1"/>
        <v>0</v>
      </c>
      <c r="I30" s="42">
        <f t="shared" si="2"/>
        <v>0</v>
      </c>
      <c r="J30" s="8">
        <f t="shared" si="3"/>
        <v>0</v>
      </c>
      <c r="L30" t="s">
        <v>113</v>
      </c>
      <c r="M30" s="1">
        <v>15</v>
      </c>
      <c r="N30" s="42" t="e">
        <f t="shared" si="4"/>
        <v>#DIV/0!</v>
      </c>
      <c r="O30" s="42" t="e">
        <f t="shared" si="5"/>
        <v>#DIV/0!</v>
      </c>
      <c r="P30" s="42" t="e">
        <f t="shared" si="6"/>
        <v>#DIV/0!</v>
      </c>
      <c r="Q30" s="8" t="e">
        <f t="shared" si="7"/>
        <v>#DIV/0!</v>
      </c>
    </row>
    <row r="31" spans="1:17" x14ac:dyDescent="0.3">
      <c r="F31" s="1">
        <v>16</v>
      </c>
      <c r="G31" s="42">
        <f t="shared" si="0"/>
        <v>0</v>
      </c>
      <c r="H31" s="42">
        <f t="shared" si="1"/>
        <v>0</v>
      </c>
      <c r="I31" s="42">
        <f t="shared" si="2"/>
        <v>0</v>
      </c>
      <c r="J31" s="8">
        <f t="shared" si="3"/>
        <v>0</v>
      </c>
      <c r="L31" t="s">
        <v>113</v>
      </c>
      <c r="M31" s="1">
        <v>16</v>
      </c>
      <c r="N31" s="42" t="e">
        <f t="shared" si="4"/>
        <v>#DIV/0!</v>
      </c>
      <c r="O31" s="42" t="e">
        <f t="shared" si="5"/>
        <v>#DIV/0!</v>
      </c>
      <c r="P31" s="42" t="e">
        <f t="shared" si="6"/>
        <v>#DIV/0!</v>
      </c>
      <c r="Q31" s="8" t="e">
        <f t="shared" si="7"/>
        <v>#DIV/0!</v>
      </c>
    </row>
    <row r="32" spans="1:17" x14ac:dyDescent="0.3">
      <c r="F32" s="1">
        <v>17</v>
      </c>
      <c r="G32" s="42">
        <f t="shared" si="0"/>
        <v>0</v>
      </c>
      <c r="H32" s="42">
        <f t="shared" si="1"/>
        <v>0</v>
      </c>
      <c r="I32" s="42">
        <f t="shared" si="2"/>
        <v>0</v>
      </c>
      <c r="J32" s="8">
        <f t="shared" si="3"/>
        <v>0</v>
      </c>
      <c r="L32" t="s">
        <v>113</v>
      </c>
      <c r="M32" s="1">
        <v>17</v>
      </c>
      <c r="N32" s="42" t="e">
        <f t="shared" si="4"/>
        <v>#DIV/0!</v>
      </c>
      <c r="O32" s="42" t="e">
        <f t="shared" si="5"/>
        <v>#DIV/0!</v>
      </c>
      <c r="P32" s="42" t="e">
        <f t="shared" si="6"/>
        <v>#DIV/0!</v>
      </c>
      <c r="Q32" s="8" t="e">
        <f t="shared" si="7"/>
        <v>#DIV/0!</v>
      </c>
    </row>
    <row r="33" spans="6:17" x14ac:dyDescent="0.3">
      <c r="F33" s="1">
        <v>18</v>
      </c>
      <c r="G33" s="42">
        <f t="shared" si="0"/>
        <v>0</v>
      </c>
      <c r="H33" s="42">
        <f t="shared" si="1"/>
        <v>0</v>
      </c>
      <c r="I33" s="42">
        <f t="shared" si="2"/>
        <v>0</v>
      </c>
      <c r="J33" s="8">
        <f t="shared" si="3"/>
        <v>0</v>
      </c>
      <c r="L33" t="s">
        <v>113</v>
      </c>
      <c r="M33" s="1">
        <v>18</v>
      </c>
      <c r="N33" s="42" t="e">
        <f t="shared" si="4"/>
        <v>#DIV/0!</v>
      </c>
      <c r="O33" s="42" t="e">
        <f t="shared" si="5"/>
        <v>#DIV/0!</v>
      </c>
      <c r="P33" s="42" t="e">
        <f t="shared" si="6"/>
        <v>#DIV/0!</v>
      </c>
      <c r="Q33" s="8" t="e">
        <f t="shared" si="7"/>
        <v>#DIV/0!</v>
      </c>
    </row>
    <row r="34" spans="6:17" x14ac:dyDescent="0.3">
      <c r="F34" s="1">
        <v>19</v>
      </c>
      <c r="G34" s="42">
        <f t="shared" si="0"/>
        <v>0</v>
      </c>
      <c r="H34" s="42">
        <f t="shared" si="1"/>
        <v>0</v>
      </c>
      <c r="I34" s="42">
        <f t="shared" si="2"/>
        <v>0</v>
      </c>
      <c r="J34" s="8">
        <f t="shared" si="3"/>
        <v>0</v>
      </c>
      <c r="L34" t="s">
        <v>113</v>
      </c>
      <c r="M34" s="1">
        <v>19</v>
      </c>
      <c r="N34" s="42" t="e">
        <f t="shared" si="4"/>
        <v>#DIV/0!</v>
      </c>
      <c r="O34" s="42" t="e">
        <f t="shared" si="5"/>
        <v>#DIV/0!</v>
      </c>
      <c r="P34" s="42" t="e">
        <f t="shared" si="6"/>
        <v>#DIV/0!</v>
      </c>
      <c r="Q34" s="8" t="e">
        <f t="shared" si="7"/>
        <v>#DIV/0!</v>
      </c>
    </row>
    <row r="35" spans="6:17" x14ac:dyDescent="0.3">
      <c r="F35" s="1">
        <v>20</v>
      </c>
      <c r="G35" s="42">
        <f t="shared" si="0"/>
        <v>0</v>
      </c>
      <c r="H35" s="42">
        <f t="shared" si="1"/>
        <v>0</v>
      </c>
      <c r="I35" s="42">
        <f t="shared" si="2"/>
        <v>0</v>
      </c>
      <c r="J35" s="8">
        <f t="shared" si="3"/>
        <v>0</v>
      </c>
      <c r="L35" t="s">
        <v>113</v>
      </c>
      <c r="M35" s="1">
        <v>20</v>
      </c>
      <c r="N35" s="42" t="e">
        <f t="shared" si="4"/>
        <v>#DIV/0!</v>
      </c>
      <c r="O35" s="42" t="e">
        <f t="shared" si="5"/>
        <v>#DIV/0!</v>
      </c>
      <c r="P35" s="42" t="e">
        <f t="shared" si="6"/>
        <v>#DIV/0!</v>
      </c>
      <c r="Q35" s="8" t="e">
        <f t="shared" si="7"/>
        <v>#DIV/0!</v>
      </c>
    </row>
    <row r="36" spans="6:17" x14ac:dyDescent="0.3">
      <c r="F36" s="1">
        <v>21</v>
      </c>
      <c r="G36" s="42">
        <f t="shared" si="0"/>
        <v>0</v>
      </c>
      <c r="H36" s="42">
        <f t="shared" si="1"/>
        <v>0</v>
      </c>
      <c r="I36" s="42">
        <f t="shared" si="2"/>
        <v>0</v>
      </c>
      <c r="J36" s="8">
        <f t="shared" si="3"/>
        <v>0</v>
      </c>
      <c r="L36" t="s">
        <v>113</v>
      </c>
      <c r="M36" s="1">
        <v>21</v>
      </c>
      <c r="N36" s="42" t="e">
        <f t="shared" si="4"/>
        <v>#DIV/0!</v>
      </c>
      <c r="O36" s="42" t="e">
        <f t="shared" si="5"/>
        <v>#DIV/0!</v>
      </c>
      <c r="P36" s="42" t="e">
        <f t="shared" si="6"/>
        <v>#DIV/0!</v>
      </c>
      <c r="Q36" s="8" t="e">
        <f t="shared" si="7"/>
        <v>#DIV/0!</v>
      </c>
    </row>
    <row r="37" spans="6:17" x14ac:dyDescent="0.3">
      <c r="F37" s="1">
        <v>22</v>
      </c>
      <c r="G37" s="42">
        <f t="shared" si="0"/>
        <v>0</v>
      </c>
      <c r="H37" s="42">
        <f t="shared" si="1"/>
        <v>0</v>
      </c>
      <c r="I37" s="42">
        <f t="shared" si="2"/>
        <v>0</v>
      </c>
      <c r="J37" s="8">
        <f t="shared" si="3"/>
        <v>0</v>
      </c>
      <c r="L37" t="s">
        <v>113</v>
      </c>
      <c r="M37" s="1">
        <v>22</v>
      </c>
      <c r="N37" s="42" t="e">
        <f t="shared" si="4"/>
        <v>#DIV/0!</v>
      </c>
      <c r="O37" s="42" t="e">
        <f t="shared" si="5"/>
        <v>#DIV/0!</v>
      </c>
      <c r="P37" s="42" t="e">
        <f t="shared" si="6"/>
        <v>#DIV/0!</v>
      </c>
      <c r="Q37" s="8" t="e">
        <f t="shared" si="7"/>
        <v>#DIV/0!</v>
      </c>
    </row>
    <row r="38" spans="6:17" x14ac:dyDescent="0.3">
      <c r="F38" s="1">
        <v>23</v>
      </c>
      <c r="G38" s="42">
        <f t="shared" si="0"/>
        <v>0</v>
      </c>
      <c r="H38" s="42">
        <f t="shared" si="1"/>
        <v>0</v>
      </c>
      <c r="I38" s="42">
        <f t="shared" si="2"/>
        <v>0</v>
      </c>
      <c r="J38" s="8">
        <f t="shared" si="3"/>
        <v>0</v>
      </c>
      <c r="L38" t="s">
        <v>113</v>
      </c>
      <c r="M38" s="1">
        <v>23</v>
      </c>
      <c r="N38" s="42" t="e">
        <f t="shared" si="4"/>
        <v>#DIV/0!</v>
      </c>
      <c r="O38" s="42" t="e">
        <f t="shared" si="5"/>
        <v>#DIV/0!</v>
      </c>
      <c r="P38" s="42" t="e">
        <f t="shared" si="6"/>
        <v>#DIV/0!</v>
      </c>
      <c r="Q38" s="8" t="e">
        <f t="shared" si="7"/>
        <v>#DIV/0!</v>
      </c>
    </row>
    <row r="39" spans="6:17" x14ac:dyDescent="0.3">
      <c r="F39" s="1">
        <v>24</v>
      </c>
      <c r="G39" s="42">
        <f t="shared" si="0"/>
        <v>0</v>
      </c>
      <c r="H39" s="42">
        <f t="shared" si="1"/>
        <v>0</v>
      </c>
      <c r="I39" s="42">
        <f t="shared" si="2"/>
        <v>0</v>
      </c>
      <c r="J39" s="8">
        <f t="shared" si="3"/>
        <v>0</v>
      </c>
      <c r="L39" t="s">
        <v>113</v>
      </c>
      <c r="M39" s="1">
        <v>24</v>
      </c>
      <c r="N39" s="42" t="e">
        <f t="shared" si="4"/>
        <v>#DIV/0!</v>
      </c>
      <c r="O39" s="42" t="e">
        <f t="shared" si="5"/>
        <v>#DIV/0!</v>
      </c>
      <c r="P39" s="42" t="e">
        <f t="shared" si="6"/>
        <v>#DIV/0!</v>
      </c>
      <c r="Q39" s="8" t="e">
        <f t="shared" si="7"/>
        <v>#DIV/0!</v>
      </c>
    </row>
    <row r="40" spans="6:17" x14ac:dyDescent="0.3">
      <c r="F40" s="1">
        <v>25</v>
      </c>
      <c r="G40" s="42">
        <f t="shared" si="0"/>
        <v>0</v>
      </c>
      <c r="H40" s="42">
        <f t="shared" si="1"/>
        <v>0</v>
      </c>
      <c r="I40" s="42">
        <f t="shared" si="2"/>
        <v>0</v>
      </c>
      <c r="J40" s="8">
        <f t="shared" si="3"/>
        <v>0</v>
      </c>
      <c r="L40" t="s">
        <v>114</v>
      </c>
      <c r="M40" s="1">
        <v>25</v>
      </c>
      <c r="N40" s="42" t="e">
        <f t="shared" si="4"/>
        <v>#DIV/0!</v>
      </c>
      <c r="O40" s="42" t="e">
        <f t="shared" si="5"/>
        <v>#DIV/0!</v>
      </c>
      <c r="P40" s="42" t="e">
        <f t="shared" si="6"/>
        <v>#DIV/0!</v>
      </c>
      <c r="Q40" s="8" t="e">
        <f t="shared" si="7"/>
        <v>#DIV/0!</v>
      </c>
    </row>
    <row r="41" spans="6:17" x14ac:dyDescent="0.3">
      <c r="F41" s="1">
        <v>26</v>
      </c>
      <c r="G41" s="42">
        <f t="shared" si="0"/>
        <v>0</v>
      </c>
      <c r="H41" s="42">
        <f t="shared" si="1"/>
        <v>0</v>
      </c>
      <c r="I41" s="42">
        <f t="shared" si="2"/>
        <v>0</v>
      </c>
      <c r="J41" s="8">
        <f t="shared" si="3"/>
        <v>0</v>
      </c>
      <c r="L41" t="s">
        <v>114</v>
      </c>
      <c r="M41" s="1">
        <v>26</v>
      </c>
      <c r="N41" s="42" t="e">
        <f t="shared" si="4"/>
        <v>#DIV/0!</v>
      </c>
      <c r="O41" s="42" t="e">
        <f t="shared" si="5"/>
        <v>#DIV/0!</v>
      </c>
      <c r="P41" s="42" t="e">
        <f t="shared" si="6"/>
        <v>#DIV/0!</v>
      </c>
      <c r="Q41" s="8" t="e">
        <f t="shared" si="7"/>
        <v>#DIV/0!</v>
      </c>
    </row>
    <row r="42" spans="6:17" x14ac:dyDescent="0.3">
      <c r="F42" s="1">
        <v>27</v>
      </c>
      <c r="G42" s="42">
        <f t="shared" si="0"/>
        <v>0</v>
      </c>
      <c r="H42" s="42">
        <f t="shared" si="1"/>
        <v>0</v>
      </c>
      <c r="I42" s="42">
        <f t="shared" si="2"/>
        <v>0</v>
      </c>
      <c r="J42" s="8">
        <f t="shared" si="3"/>
        <v>0</v>
      </c>
      <c r="L42" t="s">
        <v>114</v>
      </c>
      <c r="M42" s="1">
        <v>27</v>
      </c>
      <c r="N42" s="42" t="e">
        <f t="shared" si="4"/>
        <v>#DIV/0!</v>
      </c>
      <c r="O42" s="42" t="e">
        <f t="shared" si="5"/>
        <v>#DIV/0!</v>
      </c>
      <c r="P42" s="42" t="e">
        <f t="shared" si="6"/>
        <v>#DIV/0!</v>
      </c>
      <c r="Q42" s="8" t="e">
        <f t="shared" si="7"/>
        <v>#DIV/0!</v>
      </c>
    </row>
    <row r="43" spans="6:17" x14ac:dyDescent="0.3">
      <c r="F43" s="1">
        <v>28</v>
      </c>
      <c r="G43" s="42">
        <f t="shared" si="0"/>
        <v>0</v>
      </c>
      <c r="H43" s="42">
        <f t="shared" si="1"/>
        <v>0</v>
      </c>
      <c r="I43" s="42">
        <f t="shared" si="2"/>
        <v>0</v>
      </c>
      <c r="J43" s="8">
        <f t="shared" si="3"/>
        <v>0</v>
      </c>
      <c r="L43" t="s">
        <v>114</v>
      </c>
      <c r="M43" s="1">
        <v>28</v>
      </c>
      <c r="N43" s="42" t="e">
        <f t="shared" si="4"/>
        <v>#DIV/0!</v>
      </c>
      <c r="O43" s="42" t="e">
        <f t="shared" si="5"/>
        <v>#DIV/0!</v>
      </c>
      <c r="P43" s="42" t="e">
        <f t="shared" si="6"/>
        <v>#DIV/0!</v>
      </c>
      <c r="Q43" s="8" t="e">
        <f t="shared" si="7"/>
        <v>#DIV/0!</v>
      </c>
    </row>
    <row r="44" spans="6:17" x14ac:dyDescent="0.3">
      <c r="F44" s="1">
        <v>29</v>
      </c>
      <c r="G44" s="42">
        <f t="shared" si="0"/>
        <v>0</v>
      </c>
      <c r="H44" s="42">
        <f t="shared" si="1"/>
        <v>0</v>
      </c>
      <c r="I44" s="42">
        <f t="shared" si="2"/>
        <v>0</v>
      </c>
      <c r="J44" s="8">
        <f t="shared" si="3"/>
        <v>0</v>
      </c>
      <c r="L44" t="s">
        <v>114</v>
      </c>
      <c r="M44" s="1">
        <v>29</v>
      </c>
      <c r="N44" s="42" t="e">
        <f t="shared" si="4"/>
        <v>#DIV/0!</v>
      </c>
      <c r="O44" s="42" t="e">
        <f t="shared" si="5"/>
        <v>#DIV/0!</v>
      </c>
      <c r="P44" s="42" t="e">
        <f t="shared" si="6"/>
        <v>#DIV/0!</v>
      </c>
      <c r="Q44" s="8" t="e">
        <f t="shared" si="7"/>
        <v>#DIV/0!</v>
      </c>
    </row>
    <row r="45" spans="6:17" x14ac:dyDescent="0.3">
      <c r="F45" s="1">
        <v>30</v>
      </c>
      <c r="G45" s="42">
        <f t="shared" si="0"/>
        <v>0</v>
      </c>
      <c r="H45" s="42">
        <f t="shared" si="1"/>
        <v>0</v>
      </c>
      <c r="I45" s="42">
        <f t="shared" si="2"/>
        <v>0</v>
      </c>
      <c r="J45" s="8">
        <f t="shared" si="3"/>
        <v>0</v>
      </c>
      <c r="L45" t="s">
        <v>114</v>
      </c>
      <c r="M45" s="1">
        <v>30</v>
      </c>
      <c r="N45" s="42" t="e">
        <f t="shared" si="4"/>
        <v>#DIV/0!</v>
      </c>
      <c r="O45" s="42" t="e">
        <f t="shared" si="5"/>
        <v>#DIV/0!</v>
      </c>
      <c r="P45" s="42" t="e">
        <f t="shared" si="6"/>
        <v>#DIV/0!</v>
      </c>
      <c r="Q45" s="8" t="e">
        <f t="shared" si="7"/>
        <v>#DIV/0!</v>
      </c>
    </row>
    <row r="46" spans="6:17" x14ac:dyDescent="0.3">
      <c r="F46" s="1">
        <v>31</v>
      </c>
      <c r="G46" s="42">
        <f t="shared" si="0"/>
        <v>0</v>
      </c>
      <c r="H46" s="42">
        <f t="shared" si="1"/>
        <v>0</v>
      </c>
      <c r="I46" s="42">
        <f t="shared" si="2"/>
        <v>0</v>
      </c>
      <c r="J46" s="8">
        <f t="shared" si="3"/>
        <v>0</v>
      </c>
      <c r="L46" t="s">
        <v>114</v>
      </c>
      <c r="M46" s="1">
        <v>31</v>
      </c>
      <c r="N46" s="42" t="e">
        <f t="shared" si="4"/>
        <v>#DIV/0!</v>
      </c>
      <c r="O46" s="42" t="e">
        <f t="shared" si="5"/>
        <v>#DIV/0!</v>
      </c>
      <c r="P46" s="42" t="e">
        <f t="shared" si="6"/>
        <v>#DIV/0!</v>
      </c>
      <c r="Q46" s="8" t="e">
        <f t="shared" si="7"/>
        <v>#DIV/0!</v>
      </c>
    </row>
    <row r="47" spans="6:17" x14ac:dyDescent="0.3">
      <c r="F47" s="1">
        <v>32</v>
      </c>
      <c r="G47" s="42">
        <f t="shared" si="0"/>
        <v>0</v>
      </c>
      <c r="H47" s="42">
        <f t="shared" si="1"/>
        <v>0</v>
      </c>
      <c r="I47" s="42">
        <f t="shared" si="2"/>
        <v>0</v>
      </c>
      <c r="J47" s="8">
        <f t="shared" si="3"/>
        <v>0</v>
      </c>
      <c r="L47" t="s">
        <v>114</v>
      </c>
      <c r="M47" s="1">
        <v>32</v>
      </c>
      <c r="N47" s="42" t="e">
        <f t="shared" si="4"/>
        <v>#DIV/0!</v>
      </c>
      <c r="O47" s="42" t="e">
        <f t="shared" si="5"/>
        <v>#DIV/0!</v>
      </c>
      <c r="P47" s="42" t="e">
        <f t="shared" si="6"/>
        <v>#DIV/0!</v>
      </c>
      <c r="Q47" s="8" t="e">
        <f t="shared" si="7"/>
        <v>#DIV/0!</v>
      </c>
    </row>
    <row r="48" spans="6:17" x14ac:dyDescent="0.3">
      <c r="F48" s="1">
        <v>33</v>
      </c>
      <c r="G48" s="42">
        <f t="shared" si="0"/>
        <v>0</v>
      </c>
      <c r="H48" s="42">
        <f t="shared" si="1"/>
        <v>0</v>
      </c>
      <c r="I48" s="42">
        <f t="shared" si="2"/>
        <v>0</v>
      </c>
      <c r="J48" s="8">
        <f t="shared" si="3"/>
        <v>0</v>
      </c>
      <c r="L48" t="s">
        <v>114</v>
      </c>
      <c r="M48" s="1">
        <v>33</v>
      </c>
      <c r="N48" s="42" t="e">
        <f t="shared" si="4"/>
        <v>#DIV/0!</v>
      </c>
      <c r="O48" s="42" t="e">
        <f t="shared" si="5"/>
        <v>#DIV/0!</v>
      </c>
      <c r="P48" s="42" t="e">
        <f t="shared" si="6"/>
        <v>#DIV/0!</v>
      </c>
      <c r="Q48" s="8" t="e">
        <f t="shared" si="7"/>
        <v>#DIV/0!</v>
      </c>
    </row>
    <row r="49" spans="6:17" x14ac:dyDescent="0.3">
      <c r="F49" s="1">
        <v>34</v>
      </c>
      <c r="G49" s="42">
        <f t="shared" si="0"/>
        <v>0</v>
      </c>
      <c r="H49" s="42">
        <f t="shared" si="1"/>
        <v>0</v>
      </c>
      <c r="I49" s="42">
        <f t="shared" si="2"/>
        <v>0</v>
      </c>
      <c r="J49" s="8">
        <f t="shared" si="3"/>
        <v>0</v>
      </c>
      <c r="L49" t="s">
        <v>114</v>
      </c>
      <c r="M49" s="1">
        <v>34</v>
      </c>
      <c r="N49" s="42" t="e">
        <f t="shared" si="4"/>
        <v>#DIV/0!</v>
      </c>
      <c r="O49" s="42" t="e">
        <f t="shared" si="5"/>
        <v>#DIV/0!</v>
      </c>
      <c r="P49" s="42" t="e">
        <f t="shared" si="6"/>
        <v>#DIV/0!</v>
      </c>
      <c r="Q49" s="8" t="e">
        <f t="shared" si="7"/>
        <v>#DIV/0!</v>
      </c>
    </row>
    <row r="50" spans="6:17" x14ac:dyDescent="0.3">
      <c r="F50" s="1">
        <v>35</v>
      </c>
      <c r="G50" s="42">
        <f t="shared" si="0"/>
        <v>0</v>
      </c>
      <c r="H50" s="42">
        <f t="shared" si="1"/>
        <v>0</v>
      </c>
      <c r="I50" s="42">
        <f t="shared" si="2"/>
        <v>0</v>
      </c>
      <c r="J50" s="8">
        <f t="shared" si="3"/>
        <v>0</v>
      </c>
      <c r="L50" t="s">
        <v>114</v>
      </c>
      <c r="M50" s="1">
        <v>35</v>
      </c>
      <c r="N50" s="42" t="e">
        <f t="shared" si="4"/>
        <v>#DIV/0!</v>
      </c>
      <c r="O50" s="42" t="e">
        <f t="shared" si="5"/>
        <v>#DIV/0!</v>
      </c>
      <c r="P50" s="42" t="e">
        <f t="shared" si="6"/>
        <v>#DIV/0!</v>
      </c>
      <c r="Q50" s="8" t="e">
        <f t="shared" si="7"/>
        <v>#DIV/0!</v>
      </c>
    </row>
    <row r="51" spans="6:17" x14ac:dyDescent="0.3">
      <c r="F51" s="1">
        <v>36</v>
      </c>
      <c r="G51" s="42">
        <f t="shared" si="0"/>
        <v>0</v>
      </c>
      <c r="H51" s="42">
        <f t="shared" si="1"/>
        <v>0</v>
      </c>
      <c r="I51" s="42">
        <f t="shared" si="2"/>
        <v>0</v>
      </c>
      <c r="J51" s="8">
        <f t="shared" si="3"/>
        <v>0</v>
      </c>
      <c r="L51" t="s">
        <v>114</v>
      </c>
      <c r="M51" s="1">
        <v>36</v>
      </c>
      <c r="N51" s="42" t="e">
        <f t="shared" si="4"/>
        <v>#DIV/0!</v>
      </c>
      <c r="O51" s="42" t="e">
        <f t="shared" si="5"/>
        <v>#DIV/0!</v>
      </c>
      <c r="P51" s="42" t="e">
        <f t="shared" si="6"/>
        <v>#DIV/0!</v>
      </c>
      <c r="Q51" s="8" t="e">
        <f t="shared" si="7"/>
        <v>#DIV/0!</v>
      </c>
    </row>
    <row r="52" spans="6:17" x14ac:dyDescent="0.3">
      <c r="F52" s="1">
        <v>37</v>
      </c>
      <c r="G52" s="42">
        <f t="shared" si="0"/>
        <v>0</v>
      </c>
      <c r="H52" s="42">
        <f t="shared" si="1"/>
        <v>0</v>
      </c>
      <c r="I52" s="42">
        <f t="shared" si="2"/>
        <v>0</v>
      </c>
      <c r="J52" s="8">
        <f t="shared" si="3"/>
        <v>0</v>
      </c>
      <c r="L52" t="s">
        <v>115</v>
      </c>
      <c r="M52" s="1">
        <v>37</v>
      </c>
      <c r="N52" s="42" t="e">
        <f t="shared" si="4"/>
        <v>#DIV/0!</v>
      </c>
      <c r="O52" s="42" t="e">
        <f t="shared" si="5"/>
        <v>#DIV/0!</v>
      </c>
      <c r="P52" s="42" t="e">
        <f t="shared" si="6"/>
        <v>#DIV/0!</v>
      </c>
      <c r="Q52" s="8" t="e">
        <f t="shared" si="7"/>
        <v>#DIV/0!</v>
      </c>
    </row>
    <row r="53" spans="6:17" x14ac:dyDescent="0.3">
      <c r="F53" s="1">
        <v>38</v>
      </c>
      <c r="G53" s="42">
        <f t="shared" si="0"/>
        <v>0</v>
      </c>
      <c r="H53" s="42">
        <f t="shared" si="1"/>
        <v>0</v>
      </c>
      <c r="I53" s="42">
        <f t="shared" si="2"/>
        <v>0</v>
      </c>
      <c r="J53" s="8">
        <f t="shared" si="3"/>
        <v>0</v>
      </c>
      <c r="L53" t="s">
        <v>115</v>
      </c>
      <c r="M53" s="1">
        <v>38</v>
      </c>
      <c r="N53" s="42" t="e">
        <f t="shared" si="4"/>
        <v>#DIV/0!</v>
      </c>
      <c r="O53" s="42" t="e">
        <f t="shared" si="5"/>
        <v>#DIV/0!</v>
      </c>
      <c r="P53" s="42" t="e">
        <f t="shared" si="6"/>
        <v>#DIV/0!</v>
      </c>
      <c r="Q53" s="8" t="e">
        <f t="shared" si="7"/>
        <v>#DIV/0!</v>
      </c>
    </row>
    <row r="54" spans="6:17" x14ac:dyDescent="0.3">
      <c r="F54" s="1">
        <v>39</v>
      </c>
      <c r="G54" s="42">
        <f t="shared" si="0"/>
        <v>0</v>
      </c>
      <c r="H54" s="42">
        <f t="shared" si="1"/>
        <v>0</v>
      </c>
      <c r="I54" s="42">
        <f t="shared" si="2"/>
        <v>0</v>
      </c>
      <c r="J54" s="8">
        <f t="shared" si="3"/>
        <v>0</v>
      </c>
      <c r="L54" t="s">
        <v>115</v>
      </c>
      <c r="M54" s="1">
        <v>39</v>
      </c>
      <c r="N54" s="42" t="e">
        <f t="shared" si="4"/>
        <v>#DIV/0!</v>
      </c>
      <c r="O54" s="42" t="e">
        <f t="shared" si="5"/>
        <v>#DIV/0!</v>
      </c>
      <c r="P54" s="42" t="e">
        <f t="shared" si="6"/>
        <v>#DIV/0!</v>
      </c>
      <c r="Q54" s="8" t="e">
        <f t="shared" si="7"/>
        <v>#DIV/0!</v>
      </c>
    </row>
    <row r="55" spans="6:17" x14ac:dyDescent="0.3">
      <c r="F55" s="1">
        <v>40</v>
      </c>
      <c r="G55" s="42">
        <f t="shared" si="0"/>
        <v>0</v>
      </c>
      <c r="H55" s="42">
        <f t="shared" si="1"/>
        <v>0</v>
      </c>
      <c r="I55" s="42">
        <f t="shared" si="2"/>
        <v>0</v>
      </c>
      <c r="J55" s="8">
        <f t="shared" si="3"/>
        <v>0</v>
      </c>
      <c r="L55" t="s">
        <v>115</v>
      </c>
      <c r="M55" s="1">
        <v>40</v>
      </c>
      <c r="N55" s="42" t="e">
        <f t="shared" si="4"/>
        <v>#DIV/0!</v>
      </c>
      <c r="O55" s="42" t="e">
        <f t="shared" si="5"/>
        <v>#DIV/0!</v>
      </c>
      <c r="P55" s="42" t="e">
        <f t="shared" si="6"/>
        <v>#DIV/0!</v>
      </c>
      <c r="Q55" s="8" t="e">
        <f t="shared" si="7"/>
        <v>#DIV/0!</v>
      </c>
    </row>
    <row r="56" spans="6:17" x14ac:dyDescent="0.3">
      <c r="F56" s="1">
        <v>41</v>
      </c>
      <c r="G56" s="42">
        <f t="shared" si="0"/>
        <v>0</v>
      </c>
      <c r="H56" s="42">
        <f t="shared" si="1"/>
        <v>0</v>
      </c>
      <c r="I56" s="42">
        <f t="shared" si="2"/>
        <v>0</v>
      </c>
      <c r="J56" s="8">
        <f t="shared" si="3"/>
        <v>0</v>
      </c>
      <c r="L56" t="s">
        <v>115</v>
      </c>
      <c r="M56" s="1">
        <v>41</v>
      </c>
      <c r="N56" s="42" t="e">
        <f t="shared" si="4"/>
        <v>#DIV/0!</v>
      </c>
      <c r="O56" s="42" t="e">
        <f t="shared" si="5"/>
        <v>#DIV/0!</v>
      </c>
      <c r="P56" s="42" t="e">
        <f t="shared" si="6"/>
        <v>#DIV/0!</v>
      </c>
      <c r="Q56" s="8" t="e">
        <f t="shared" si="7"/>
        <v>#DIV/0!</v>
      </c>
    </row>
    <row r="57" spans="6:17" x14ac:dyDescent="0.3">
      <c r="F57" s="1">
        <v>42</v>
      </c>
      <c r="G57" s="42">
        <f t="shared" si="0"/>
        <v>0</v>
      </c>
      <c r="H57" s="42">
        <f t="shared" si="1"/>
        <v>0</v>
      </c>
      <c r="I57" s="42">
        <f t="shared" si="2"/>
        <v>0</v>
      </c>
      <c r="J57" s="8">
        <f t="shared" si="3"/>
        <v>0</v>
      </c>
      <c r="L57" t="s">
        <v>115</v>
      </c>
      <c r="M57" s="1">
        <v>42</v>
      </c>
      <c r="N57" s="42" t="e">
        <f t="shared" si="4"/>
        <v>#DIV/0!</v>
      </c>
      <c r="O57" s="42" t="e">
        <f t="shared" si="5"/>
        <v>#DIV/0!</v>
      </c>
      <c r="P57" s="42" t="e">
        <f t="shared" si="6"/>
        <v>#DIV/0!</v>
      </c>
      <c r="Q57" s="8" t="e">
        <f t="shared" si="7"/>
        <v>#DIV/0!</v>
      </c>
    </row>
    <row r="58" spans="6:17" x14ac:dyDescent="0.3">
      <c r="F58" s="1">
        <v>43</v>
      </c>
      <c r="G58" s="42">
        <f t="shared" si="0"/>
        <v>0</v>
      </c>
      <c r="H58" s="42">
        <f t="shared" si="1"/>
        <v>0</v>
      </c>
      <c r="I58" s="42">
        <f t="shared" si="2"/>
        <v>0</v>
      </c>
      <c r="J58" s="8">
        <f t="shared" si="3"/>
        <v>0</v>
      </c>
      <c r="L58" t="s">
        <v>115</v>
      </c>
      <c r="M58" s="1">
        <v>43</v>
      </c>
      <c r="N58" s="42" t="e">
        <f t="shared" si="4"/>
        <v>#DIV/0!</v>
      </c>
      <c r="O58" s="42" t="e">
        <f t="shared" si="5"/>
        <v>#DIV/0!</v>
      </c>
      <c r="P58" s="42" t="e">
        <f t="shared" si="6"/>
        <v>#DIV/0!</v>
      </c>
      <c r="Q58" s="8" t="e">
        <f t="shared" si="7"/>
        <v>#DIV/0!</v>
      </c>
    </row>
    <row r="59" spans="6:17" x14ac:dyDescent="0.3">
      <c r="F59" s="1">
        <v>44</v>
      </c>
      <c r="G59" s="42">
        <f t="shared" si="0"/>
        <v>0</v>
      </c>
      <c r="H59" s="42">
        <f t="shared" si="1"/>
        <v>0</v>
      </c>
      <c r="I59" s="42">
        <f t="shared" si="2"/>
        <v>0</v>
      </c>
      <c r="J59" s="8">
        <f t="shared" si="3"/>
        <v>0</v>
      </c>
      <c r="L59" t="s">
        <v>115</v>
      </c>
      <c r="M59" s="1">
        <v>44</v>
      </c>
      <c r="N59" s="42" t="e">
        <f t="shared" si="4"/>
        <v>#DIV/0!</v>
      </c>
      <c r="O59" s="42" t="e">
        <f t="shared" si="5"/>
        <v>#DIV/0!</v>
      </c>
      <c r="P59" s="42" t="e">
        <f t="shared" si="6"/>
        <v>#DIV/0!</v>
      </c>
      <c r="Q59" s="8" t="e">
        <f t="shared" si="7"/>
        <v>#DIV/0!</v>
      </c>
    </row>
    <row r="60" spans="6:17" x14ac:dyDescent="0.3">
      <c r="F60" s="1">
        <v>45</v>
      </c>
      <c r="G60" s="42">
        <f t="shared" si="0"/>
        <v>0</v>
      </c>
      <c r="H60" s="42">
        <f t="shared" si="1"/>
        <v>0</v>
      </c>
      <c r="I60" s="42">
        <f t="shared" si="2"/>
        <v>0</v>
      </c>
      <c r="J60" s="8">
        <f t="shared" si="3"/>
        <v>0</v>
      </c>
      <c r="L60" t="s">
        <v>115</v>
      </c>
      <c r="M60" s="1">
        <v>45</v>
      </c>
      <c r="N60" s="42" t="e">
        <f t="shared" si="4"/>
        <v>#DIV/0!</v>
      </c>
      <c r="O60" s="42" t="e">
        <f t="shared" si="5"/>
        <v>#DIV/0!</v>
      </c>
      <c r="P60" s="42" t="e">
        <f t="shared" si="6"/>
        <v>#DIV/0!</v>
      </c>
      <c r="Q60" s="8" t="e">
        <f t="shared" si="7"/>
        <v>#DIV/0!</v>
      </c>
    </row>
    <row r="61" spans="6:17" x14ac:dyDescent="0.3">
      <c r="F61" s="1">
        <v>46</v>
      </c>
      <c r="G61" s="42">
        <f t="shared" si="0"/>
        <v>0</v>
      </c>
      <c r="H61" s="42">
        <f t="shared" si="1"/>
        <v>0</v>
      </c>
      <c r="I61" s="42">
        <f t="shared" si="2"/>
        <v>0</v>
      </c>
      <c r="J61" s="8">
        <f t="shared" si="3"/>
        <v>0</v>
      </c>
      <c r="L61" t="s">
        <v>115</v>
      </c>
      <c r="M61" s="1">
        <v>46</v>
      </c>
      <c r="N61" s="42" t="e">
        <f t="shared" si="4"/>
        <v>#DIV/0!</v>
      </c>
      <c r="O61" s="42" t="e">
        <f t="shared" si="5"/>
        <v>#DIV/0!</v>
      </c>
      <c r="P61" s="42" t="e">
        <f t="shared" si="6"/>
        <v>#DIV/0!</v>
      </c>
      <c r="Q61" s="8" t="e">
        <f t="shared" si="7"/>
        <v>#DIV/0!</v>
      </c>
    </row>
    <row r="62" spans="6:17" x14ac:dyDescent="0.3">
      <c r="F62" s="1">
        <v>47</v>
      </c>
      <c r="G62" s="42">
        <f t="shared" si="0"/>
        <v>0</v>
      </c>
      <c r="H62" s="42">
        <f t="shared" si="1"/>
        <v>0</v>
      </c>
      <c r="I62" s="42">
        <f t="shared" si="2"/>
        <v>0</v>
      </c>
      <c r="J62" s="8">
        <f t="shared" si="3"/>
        <v>0</v>
      </c>
      <c r="L62" t="s">
        <v>115</v>
      </c>
      <c r="M62" s="1">
        <v>47</v>
      </c>
      <c r="N62" s="42" t="e">
        <f t="shared" si="4"/>
        <v>#DIV/0!</v>
      </c>
      <c r="O62" s="42" t="e">
        <f t="shared" si="5"/>
        <v>#DIV/0!</v>
      </c>
      <c r="P62" s="42" t="e">
        <f t="shared" si="6"/>
        <v>#DIV/0!</v>
      </c>
      <c r="Q62" s="8" t="e">
        <f t="shared" si="7"/>
        <v>#DIV/0!</v>
      </c>
    </row>
    <row r="63" spans="6:17" x14ac:dyDescent="0.3">
      <c r="F63" s="1">
        <v>48</v>
      </c>
      <c r="G63" s="42">
        <f t="shared" si="0"/>
        <v>0</v>
      </c>
      <c r="H63" s="42">
        <f t="shared" si="1"/>
        <v>0</v>
      </c>
      <c r="I63" s="42">
        <f t="shared" si="2"/>
        <v>0</v>
      </c>
      <c r="J63" s="8">
        <f t="shared" si="3"/>
        <v>0</v>
      </c>
      <c r="L63" t="s">
        <v>115</v>
      </c>
      <c r="M63" s="1">
        <v>48</v>
      </c>
      <c r="N63" s="42" t="e">
        <f t="shared" si="4"/>
        <v>#DIV/0!</v>
      </c>
      <c r="O63" s="42" t="e">
        <f t="shared" si="5"/>
        <v>#DIV/0!</v>
      </c>
      <c r="P63" s="42" t="e">
        <f t="shared" si="6"/>
        <v>#DIV/0!</v>
      </c>
      <c r="Q63" s="8" t="e">
        <f t="shared" si="7"/>
        <v>#DIV/0!</v>
      </c>
    </row>
    <row r="64" spans="6:17" x14ac:dyDescent="0.3">
      <c r="F64" s="1">
        <v>49</v>
      </c>
      <c r="G64" s="42">
        <f t="shared" si="0"/>
        <v>0</v>
      </c>
      <c r="H64" s="42">
        <f t="shared" si="1"/>
        <v>0</v>
      </c>
      <c r="I64" s="42">
        <f t="shared" si="2"/>
        <v>0</v>
      </c>
      <c r="J64" s="8">
        <f t="shared" si="3"/>
        <v>0</v>
      </c>
      <c r="L64" t="s">
        <v>116</v>
      </c>
      <c r="M64" s="1">
        <v>49</v>
      </c>
      <c r="N64" s="42" t="e">
        <f t="shared" si="4"/>
        <v>#DIV/0!</v>
      </c>
      <c r="O64" s="42" t="e">
        <f t="shared" si="5"/>
        <v>#DIV/0!</v>
      </c>
      <c r="P64" s="42" t="e">
        <f t="shared" si="6"/>
        <v>#DIV/0!</v>
      </c>
      <c r="Q64" s="8" t="e">
        <f t="shared" si="7"/>
        <v>#DIV/0!</v>
      </c>
    </row>
    <row r="65" spans="6:18" x14ac:dyDescent="0.3">
      <c r="F65" s="1">
        <v>50</v>
      </c>
      <c r="G65" s="42">
        <f t="shared" si="0"/>
        <v>0</v>
      </c>
      <c r="H65" s="42">
        <f t="shared" si="1"/>
        <v>0</v>
      </c>
      <c r="I65" s="42">
        <f t="shared" si="2"/>
        <v>0</v>
      </c>
      <c r="J65" s="8">
        <f t="shared" si="3"/>
        <v>0</v>
      </c>
      <c r="L65" t="s">
        <v>116</v>
      </c>
      <c r="M65" s="1">
        <v>50</v>
      </c>
      <c r="N65" s="42" t="e">
        <f t="shared" si="4"/>
        <v>#DIV/0!</v>
      </c>
      <c r="O65" s="42" t="e">
        <f t="shared" si="5"/>
        <v>#DIV/0!</v>
      </c>
      <c r="P65" s="42" t="e">
        <f t="shared" si="6"/>
        <v>#DIV/0!</v>
      </c>
      <c r="Q65" s="8" t="e">
        <f t="shared" si="7"/>
        <v>#DIV/0!</v>
      </c>
    </row>
    <row r="66" spans="6:18" x14ac:dyDescent="0.3">
      <c r="F66" s="1">
        <v>51</v>
      </c>
      <c r="G66" s="42">
        <f t="shared" si="0"/>
        <v>0</v>
      </c>
      <c r="H66" s="42">
        <f t="shared" si="1"/>
        <v>0</v>
      </c>
      <c r="I66" s="42">
        <f t="shared" si="2"/>
        <v>0</v>
      </c>
      <c r="J66" s="8">
        <f t="shared" si="3"/>
        <v>0</v>
      </c>
      <c r="L66" t="s">
        <v>116</v>
      </c>
      <c r="M66" s="1">
        <v>51</v>
      </c>
      <c r="N66" s="42" t="e">
        <f t="shared" si="4"/>
        <v>#DIV/0!</v>
      </c>
      <c r="O66" s="42" t="e">
        <f t="shared" si="5"/>
        <v>#DIV/0!</v>
      </c>
      <c r="P66" s="42" t="e">
        <f t="shared" si="6"/>
        <v>#DIV/0!</v>
      </c>
      <c r="Q66" s="8" t="e">
        <f t="shared" si="7"/>
        <v>#DIV/0!</v>
      </c>
    </row>
    <row r="67" spans="6:18" x14ac:dyDescent="0.3">
      <c r="F67" s="1">
        <v>52</v>
      </c>
      <c r="G67" s="42">
        <f t="shared" si="0"/>
        <v>0</v>
      </c>
      <c r="H67" s="42">
        <f t="shared" si="1"/>
        <v>0</v>
      </c>
      <c r="I67" s="42">
        <f t="shared" si="2"/>
        <v>0</v>
      </c>
      <c r="J67" s="8">
        <f t="shared" si="3"/>
        <v>0</v>
      </c>
      <c r="L67" t="s">
        <v>116</v>
      </c>
      <c r="M67" s="1">
        <v>52</v>
      </c>
      <c r="N67" s="42" t="e">
        <f t="shared" si="4"/>
        <v>#DIV/0!</v>
      </c>
      <c r="O67" s="42" t="e">
        <f t="shared" si="5"/>
        <v>#DIV/0!</v>
      </c>
      <c r="P67" s="42" t="e">
        <f t="shared" si="6"/>
        <v>#DIV/0!</v>
      </c>
      <c r="Q67" s="8" t="e">
        <f t="shared" si="7"/>
        <v>#DIV/0!</v>
      </c>
    </row>
    <row r="68" spans="6:18" x14ac:dyDescent="0.3">
      <c r="F68" s="1">
        <v>53</v>
      </c>
      <c r="G68" s="42">
        <f t="shared" si="0"/>
        <v>0</v>
      </c>
      <c r="H68" s="42">
        <f t="shared" si="1"/>
        <v>0</v>
      </c>
      <c r="I68" s="42">
        <f t="shared" si="2"/>
        <v>0</v>
      </c>
      <c r="J68" s="8">
        <f t="shared" si="3"/>
        <v>0</v>
      </c>
      <c r="L68" t="s">
        <v>116</v>
      </c>
      <c r="M68" s="1">
        <v>53</v>
      </c>
      <c r="N68" s="42" t="e">
        <f t="shared" si="4"/>
        <v>#DIV/0!</v>
      </c>
      <c r="O68" s="42" t="e">
        <f t="shared" si="5"/>
        <v>#DIV/0!</v>
      </c>
      <c r="P68" s="42" t="e">
        <f t="shared" si="6"/>
        <v>#DIV/0!</v>
      </c>
      <c r="Q68" s="8" t="e">
        <f t="shared" si="7"/>
        <v>#DIV/0!</v>
      </c>
    </row>
    <row r="69" spans="6:18" x14ac:dyDescent="0.3">
      <c r="F69" s="1">
        <v>54</v>
      </c>
      <c r="G69" s="42">
        <f t="shared" si="0"/>
        <v>0</v>
      </c>
      <c r="H69" s="42">
        <f t="shared" si="1"/>
        <v>0</v>
      </c>
      <c r="I69" s="42">
        <f t="shared" si="2"/>
        <v>0</v>
      </c>
      <c r="J69" s="8">
        <f t="shared" si="3"/>
        <v>0</v>
      </c>
      <c r="L69" t="s">
        <v>116</v>
      </c>
      <c r="M69" s="1">
        <v>54</v>
      </c>
      <c r="N69" s="42" t="e">
        <f t="shared" si="4"/>
        <v>#DIV/0!</v>
      </c>
      <c r="O69" s="42" t="e">
        <f t="shared" si="5"/>
        <v>#DIV/0!</v>
      </c>
      <c r="P69" s="42" t="e">
        <f t="shared" si="6"/>
        <v>#DIV/0!</v>
      </c>
      <c r="Q69" s="8" t="e">
        <f t="shared" si="7"/>
        <v>#DIV/0!</v>
      </c>
    </row>
    <row r="70" spans="6:18" x14ac:dyDescent="0.3">
      <c r="F70" s="1">
        <v>55</v>
      </c>
      <c r="G70" s="42">
        <f t="shared" si="0"/>
        <v>0</v>
      </c>
      <c r="H70" s="42">
        <f t="shared" si="1"/>
        <v>0</v>
      </c>
      <c r="I70" s="42">
        <f t="shared" si="2"/>
        <v>0</v>
      </c>
      <c r="J70" s="8">
        <f t="shared" si="3"/>
        <v>0</v>
      </c>
      <c r="L70" t="s">
        <v>116</v>
      </c>
      <c r="M70" s="1">
        <v>55</v>
      </c>
      <c r="N70" s="42" t="e">
        <f t="shared" si="4"/>
        <v>#DIV/0!</v>
      </c>
      <c r="O70" s="42" t="e">
        <f t="shared" si="5"/>
        <v>#DIV/0!</v>
      </c>
      <c r="P70" s="42" t="e">
        <f t="shared" si="6"/>
        <v>#DIV/0!</v>
      </c>
      <c r="Q70" s="8" t="e">
        <f t="shared" si="7"/>
        <v>#DIV/0!</v>
      </c>
    </row>
    <row r="71" spans="6:18" x14ac:dyDescent="0.3">
      <c r="F71" s="1">
        <v>56</v>
      </c>
      <c r="G71" s="42">
        <f t="shared" si="0"/>
        <v>0</v>
      </c>
      <c r="H71" s="42">
        <f t="shared" si="1"/>
        <v>0</v>
      </c>
      <c r="I71" s="42">
        <f t="shared" si="2"/>
        <v>0</v>
      </c>
      <c r="J71" s="8">
        <f t="shared" si="3"/>
        <v>0</v>
      </c>
      <c r="L71" t="s">
        <v>116</v>
      </c>
      <c r="M71" s="1">
        <v>56</v>
      </c>
      <c r="N71" s="42" t="e">
        <f t="shared" si="4"/>
        <v>#DIV/0!</v>
      </c>
      <c r="O71" s="42" t="e">
        <f t="shared" si="5"/>
        <v>#DIV/0!</v>
      </c>
      <c r="P71" s="42" t="e">
        <f t="shared" si="6"/>
        <v>#DIV/0!</v>
      </c>
      <c r="Q71" s="8" t="e">
        <f t="shared" si="7"/>
        <v>#DIV/0!</v>
      </c>
    </row>
    <row r="72" spans="6:18" x14ac:dyDescent="0.3">
      <c r="F72" s="1">
        <v>57</v>
      </c>
      <c r="G72" s="42">
        <f t="shared" si="0"/>
        <v>0</v>
      </c>
      <c r="H72" s="42">
        <f t="shared" si="1"/>
        <v>0</v>
      </c>
      <c r="I72" s="42">
        <f t="shared" si="2"/>
        <v>0</v>
      </c>
      <c r="J72" s="8">
        <f t="shared" si="3"/>
        <v>0</v>
      </c>
      <c r="L72" t="s">
        <v>116</v>
      </c>
      <c r="M72" s="1">
        <v>57</v>
      </c>
      <c r="N72" s="42" t="e">
        <f t="shared" si="4"/>
        <v>#DIV/0!</v>
      </c>
      <c r="O72" s="42" t="e">
        <f t="shared" si="5"/>
        <v>#DIV/0!</v>
      </c>
      <c r="P72" s="42" t="e">
        <f t="shared" si="6"/>
        <v>#DIV/0!</v>
      </c>
      <c r="Q72" s="8" t="e">
        <f t="shared" si="7"/>
        <v>#DIV/0!</v>
      </c>
    </row>
    <row r="73" spans="6:18" x14ac:dyDescent="0.3">
      <c r="F73" s="1">
        <v>58</v>
      </c>
      <c r="G73" s="42">
        <f t="shared" si="0"/>
        <v>0</v>
      </c>
      <c r="H73" s="42">
        <f t="shared" si="1"/>
        <v>0</v>
      </c>
      <c r="I73" s="42">
        <f t="shared" si="2"/>
        <v>0</v>
      </c>
      <c r="J73" s="8">
        <f t="shared" si="3"/>
        <v>0</v>
      </c>
      <c r="L73" t="s">
        <v>116</v>
      </c>
      <c r="M73" s="1">
        <v>58</v>
      </c>
      <c r="N73" s="42" t="e">
        <f t="shared" si="4"/>
        <v>#DIV/0!</v>
      </c>
      <c r="O73" s="42" t="e">
        <f t="shared" si="5"/>
        <v>#DIV/0!</v>
      </c>
      <c r="P73" s="42" t="e">
        <f t="shared" si="6"/>
        <v>#DIV/0!</v>
      </c>
      <c r="Q73" s="8" t="e">
        <f t="shared" si="7"/>
        <v>#DIV/0!</v>
      </c>
    </row>
    <row r="74" spans="6:18" x14ac:dyDescent="0.3">
      <c r="F74" s="1">
        <v>59</v>
      </c>
      <c r="G74" s="42">
        <f t="shared" si="0"/>
        <v>0</v>
      </c>
      <c r="H74" s="42">
        <f t="shared" si="1"/>
        <v>0</v>
      </c>
      <c r="I74" s="42">
        <f t="shared" si="2"/>
        <v>0</v>
      </c>
      <c r="J74" s="8">
        <f t="shared" si="3"/>
        <v>0</v>
      </c>
      <c r="L74" t="s">
        <v>116</v>
      </c>
      <c r="M74" s="1">
        <v>59</v>
      </c>
      <c r="N74" s="42" t="e">
        <f t="shared" si="4"/>
        <v>#DIV/0!</v>
      </c>
      <c r="O74" s="42" t="e">
        <f t="shared" si="5"/>
        <v>#DIV/0!</v>
      </c>
      <c r="P74" s="42" t="e">
        <f t="shared" si="6"/>
        <v>#DIV/0!</v>
      </c>
      <c r="Q74" s="8" t="e">
        <f t="shared" si="7"/>
        <v>#DIV/0!</v>
      </c>
    </row>
    <row r="75" spans="6:18" x14ac:dyDescent="0.3">
      <c r="F75" s="1">
        <v>60</v>
      </c>
      <c r="G75" s="42">
        <f t="shared" si="0"/>
        <v>0</v>
      </c>
      <c r="H75" s="42">
        <f t="shared" si="1"/>
        <v>0</v>
      </c>
      <c r="I75" s="42">
        <f t="shared" si="2"/>
        <v>0</v>
      </c>
      <c r="J75" s="8">
        <f t="shared" si="3"/>
        <v>0</v>
      </c>
      <c r="L75" t="s">
        <v>116</v>
      </c>
      <c r="M75" s="1">
        <v>60</v>
      </c>
      <c r="N75" s="42" t="e">
        <f t="shared" si="4"/>
        <v>#DIV/0!</v>
      </c>
      <c r="O75" s="42" t="e">
        <f t="shared" si="5"/>
        <v>#DIV/0!</v>
      </c>
      <c r="P75" s="42" t="e">
        <f t="shared" si="6"/>
        <v>#DIV/0!</v>
      </c>
      <c r="Q75" s="8" t="e">
        <f t="shared" si="7"/>
        <v>#DIV/0!</v>
      </c>
      <c r="R75" s="7" t="e">
        <f>Q15-Q75</f>
        <v>#DIV/0!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zoomScale="130" zoomScaleNormal="130" workbookViewId="0">
      <selection activeCell="B48" sqref="B48:C48"/>
    </sheetView>
  </sheetViews>
  <sheetFormatPr defaultRowHeight="14.4" x14ac:dyDescent="0.3"/>
  <cols>
    <col min="1" max="1" width="10.88671875" customWidth="1"/>
    <col min="2" max="3" width="9.44140625" customWidth="1"/>
    <col min="5" max="5" width="13.88671875" customWidth="1"/>
    <col min="6" max="8" width="10.44140625" style="1" customWidth="1"/>
    <col min="9" max="9" width="10" style="1" bestFit="1" customWidth="1"/>
  </cols>
  <sheetData>
    <row r="1" spans="1:9" x14ac:dyDescent="0.3">
      <c r="A1" s="25">
        <v>55000</v>
      </c>
      <c r="B1" s="15">
        <v>5.0000000000000001E-3</v>
      </c>
      <c r="C1" s="8">
        <f>B1*A1</f>
        <v>275</v>
      </c>
      <c r="E1" t="s">
        <v>41</v>
      </c>
      <c r="F1" s="8">
        <f>Inputs!$B$43</f>
        <v>0</v>
      </c>
    </row>
    <row r="2" spans="1:9" x14ac:dyDescent="0.3">
      <c r="A2" s="25">
        <v>250000</v>
      </c>
      <c r="B2" s="17">
        <v>0.01</v>
      </c>
      <c r="C2" s="8">
        <f>B2*(A2-A1)</f>
        <v>1950</v>
      </c>
    </row>
    <row r="3" spans="1:9" ht="28.8" x14ac:dyDescent="0.3">
      <c r="A3" s="25">
        <v>400000</v>
      </c>
      <c r="B3" s="15">
        <v>1.4999999999999999E-2</v>
      </c>
      <c r="C3" s="8">
        <f>B3*(A3-A2)</f>
        <v>2250</v>
      </c>
      <c r="E3" t="s">
        <v>40</v>
      </c>
      <c r="F3" s="26" t="s">
        <v>81</v>
      </c>
      <c r="G3" s="26" t="s">
        <v>43</v>
      </c>
      <c r="H3" s="26" t="s">
        <v>45</v>
      </c>
      <c r="I3" s="26" t="s">
        <v>7</v>
      </c>
    </row>
    <row r="4" spans="1:9" x14ac:dyDescent="0.3">
      <c r="A4" s="25">
        <v>2000000</v>
      </c>
      <c r="B4" s="15">
        <v>0.02</v>
      </c>
      <c r="C4" s="8">
        <f>B4*(A4-A3)</f>
        <v>32000</v>
      </c>
      <c r="E4" t="s">
        <v>42</v>
      </c>
      <c r="F4" s="8">
        <f>IF(F1&lt;=A1,F1*B1,IF(F1&lt;=A2,C1+B2*(F1-A1),IF(F1&lt;=A3,C1+C2+B3*(F1-A2),IF(F1&lt;=A4,C1+C2+C3+B4*(F1-A3),SUM(C1:C4)+(F1-A4)*B5))))</f>
        <v>0</v>
      </c>
      <c r="G4" s="8">
        <f>F4-4000</f>
        <v>-4000</v>
      </c>
      <c r="H4" s="8">
        <f>G4</f>
        <v>-4000</v>
      </c>
      <c r="I4" s="8">
        <f>F4-4000*50%</f>
        <v>-2000</v>
      </c>
    </row>
    <row r="5" spans="1:9" x14ac:dyDescent="0.3">
      <c r="A5" s="16" t="s">
        <v>38</v>
      </c>
      <c r="B5" s="15">
        <v>2.5000000000000001E-2</v>
      </c>
      <c r="C5" s="15"/>
      <c r="E5" t="s">
        <v>39</v>
      </c>
      <c r="F5" s="8">
        <f>F4*2</f>
        <v>0</v>
      </c>
      <c r="G5" s="8">
        <f>F5-4000-4475</f>
        <v>-8475</v>
      </c>
      <c r="H5" s="8">
        <f>G5</f>
        <v>-8475</v>
      </c>
      <c r="I5" s="8">
        <f>F5-8475*50%</f>
        <v>-4237.5</v>
      </c>
    </row>
    <row r="6" spans="1:9" x14ac:dyDescent="0.3">
      <c r="E6" s="6"/>
    </row>
    <row r="7" spans="1:9" x14ac:dyDescent="0.3">
      <c r="A7" s="14" t="s">
        <v>37</v>
      </c>
    </row>
  </sheetData>
  <hyperlinks>
    <hyperlink ref="A7"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activeCell="C13" sqref="C13"/>
    </sheetView>
  </sheetViews>
  <sheetFormatPr defaultRowHeight="14.4" outlineLevelRow="1" x14ac:dyDescent="0.3"/>
  <cols>
    <col min="1" max="1" width="14.44140625" customWidth="1"/>
    <col min="3" max="3" width="9.77734375" bestFit="1" customWidth="1"/>
    <col min="5" max="5" width="13.88671875" customWidth="1"/>
    <col min="6" max="8" width="10.44140625" customWidth="1"/>
    <col min="9" max="9" width="10" bestFit="1" customWidth="1"/>
  </cols>
  <sheetData>
    <row r="1" spans="1:9" x14ac:dyDescent="0.3">
      <c r="A1" t="s">
        <v>41</v>
      </c>
      <c r="B1" s="7">
        <f>Inputs!$B$43</f>
        <v>0</v>
      </c>
      <c r="C1" s="8"/>
    </row>
    <row r="2" spans="1:9" x14ac:dyDescent="0.3">
      <c r="C2" s="8"/>
    </row>
    <row r="3" spans="1:9" x14ac:dyDescent="0.3">
      <c r="A3" t="s">
        <v>54</v>
      </c>
      <c r="B3" s="7">
        <f>IF(B1&lt;500000,5%*$B$1,5%*500000)</f>
        <v>0</v>
      </c>
      <c r="C3" s="8"/>
    </row>
    <row r="4" spans="1:9" x14ac:dyDescent="0.3">
      <c r="A4" t="s">
        <v>55</v>
      </c>
      <c r="B4" s="7">
        <f>IF(B1&lt;500000,0,IF(B1&gt;999999.9999,20%*B1-B3,10%*(B1-500000)))</f>
        <v>0</v>
      </c>
      <c r="C4" s="8"/>
      <c r="G4" s="7"/>
      <c r="H4" s="7"/>
    </row>
    <row r="5" spans="1:9" x14ac:dyDescent="0.3">
      <c r="C5" s="8"/>
      <c r="G5" s="7"/>
      <c r="H5" s="7"/>
    </row>
    <row r="6" spans="1:9" x14ac:dyDescent="0.3">
      <c r="A6" t="s">
        <v>56</v>
      </c>
      <c r="B6" s="7">
        <f>B3+B4</f>
        <v>0</v>
      </c>
      <c r="C6" s="8"/>
      <c r="G6" s="7"/>
      <c r="H6" s="7"/>
    </row>
    <row r="7" spans="1:9" x14ac:dyDescent="0.3">
      <c r="E7" s="6"/>
    </row>
    <row r="8" spans="1:9" x14ac:dyDescent="0.3">
      <c r="A8" s="14" t="s">
        <v>53</v>
      </c>
    </row>
    <row r="12" spans="1:9" outlineLevel="1" x14ac:dyDescent="0.3">
      <c r="A12" t="s">
        <v>56</v>
      </c>
      <c r="B12" s="7">
        <f>Inputs!B48</f>
        <v>0</v>
      </c>
      <c r="C12" t="e">
        <f>IF($B$12&gt;$B$21,"You Can't Buy this House - Change your Inputs",B12)</f>
        <v>#N/A</v>
      </c>
      <c r="H12" t="s">
        <v>58</v>
      </c>
      <c r="I12" s="7" t="e">
        <f>B21-B12</f>
        <v>#N/A</v>
      </c>
    </row>
    <row r="13" spans="1:9" outlineLevel="1" x14ac:dyDescent="0.3">
      <c r="B13" s="7" t="e">
        <f t="shared" ref="B13:B20" si="0">B12+$I$13</f>
        <v>#N/A</v>
      </c>
      <c r="C13" t="e">
        <f t="shared" ref="C13:C21" si="1">IF($B$12&gt;$B$21,"You Can't Buy this House - Change your Inputs",B13)</f>
        <v>#N/A</v>
      </c>
      <c r="H13" t="s">
        <v>59</v>
      </c>
      <c r="I13" s="7" t="e">
        <f>I12/9</f>
        <v>#N/A</v>
      </c>
    </row>
    <row r="14" spans="1:9" outlineLevel="1" x14ac:dyDescent="0.3">
      <c r="B14" s="7" t="e">
        <f t="shared" si="0"/>
        <v>#N/A</v>
      </c>
      <c r="C14" t="e">
        <f t="shared" si="1"/>
        <v>#N/A</v>
      </c>
    </row>
    <row r="15" spans="1:9" outlineLevel="1" x14ac:dyDescent="0.3">
      <c r="B15" s="7" t="e">
        <f t="shared" si="0"/>
        <v>#N/A</v>
      </c>
      <c r="C15" t="e">
        <f t="shared" si="1"/>
        <v>#N/A</v>
      </c>
    </row>
    <row r="16" spans="1:9" outlineLevel="1" x14ac:dyDescent="0.3">
      <c r="B16" s="7" t="e">
        <f t="shared" si="0"/>
        <v>#N/A</v>
      </c>
      <c r="C16" t="e">
        <f t="shared" si="1"/>
        <v>#N/A</v>
      </c>
    </row>
    <row r="17" spans="1:3" outlineLevel="1" x14ac:dyDescent="0.3">
      <c r="B17" s="7" t="e">
        <f t="shared" si="0"/>
        <v>#N/A</v>
      </c>
      <c r="C17" t="e">
        <f t="shared" si="1"/>
        <v>#N/A</v>
      </c>
    </row>
    <row r="18" spans="1:3" outlineLevel="1" x14ac:dyDescent="0.3">
      <c r="B18" s="7" t="e">
        <f t="shared" si="0"/>
        <v>#N/A</v>
      </c>
      <c r="C18" t="e">
        <f t="shared" si="1"/>
        <v>#N/A</v>
      </c>
    </row>
    <row r="19" spans="1:3" outlineLevel="1" x14ac:dyDescent="0.3">
      <c r="B19" s="7" t="e">
        <f t="shared" si="0"/>
        <v>#N/A</v>
      </c>
      <c r="C19" t="e">
        <f t="shared" si="1"/>
        <v>#N/A</v>
      </c>
    </row>
    <row r="20" spans="1:3" outlineLevel="1" x14ac:dyDescent="0.3">
      <c r="B20" s="7" t="e">
        <f t="shared" si="0"/>
        <v>#N/A</v>
      </c>
      <c r="C20" t="e">
        <f t="shared" si="1"/>
        <v>#N/A</v>
      </c>
    </row>
    <row r="21" spans="1:3" outlineLevel="1" x14ac:dyDescent="0.3">
      <c r="A21" t="s">
        <v>57</v>
      </c>
      <c r="B21" s="7" t="e">
        <f>Inputs!B47</f>
        <v>#N/A</v>
      </c>
      <c r="C21" t="e">
        <f t="shared" si="1"/>
        <v>#N/A</v>
      </c>
    </row>
  </sheetData>
  <hyperlinks>
    <hyperlink ref="A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Inputs</vt:lpstr>
      <vt:lpstr>Summary</vt:lpstr>
      <vt:lpstr>Mortgage Calculations</vt:lpstr>
      <vt:lpstr>Land Transfer Tax</vt:lpstr>
      <vt:lpstr>Minimum Downpayment</vt:lpstr>
      <vt:lpstr>Inputs!Print_Area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Peloza</dc:creator>
  <cp:lastModifiedBy>John Peloza</cp:lastModifiedBy>
  <cp:lastPrinted>2023-03-17T22:20:24Z</cp:lastPrinted>
  <dcterms:created xsi:type="dcterms:W3CDTF">2022-12-13T01:20:51Z</dcterms:created>
  <dcterms:modified xsi:type="dcterms:W3CDTF">2023-06-09T21:41:37Z</dcterms:modified>
</cp:coreProperties>
</file>